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전 컴퓨터\논병아리\d 드라이브\P003-회계\예산서\"/>
    </mc:Choice>
  </mc:AlternateContent>
  <bookViews>
    <workbookView xWindow="0" yWindow="1350" windowWidth="28800" windowHeight="12285" tabRatio="864"/>
  </bookViews>
  <sheets>
    <sheet name="표지" sheetId="120" r:id="rId1"/>
    <sheet name="가. 예산총칙" sheetId="90" r:id="rId2"/>
    <sheet name="나. 세입세출(총괄)" sheetId="52" r:id="rId3"/>
    <sheet name="다. 세입내역서" sheetId="23" r:id="rId4"/>
    <sheet name="라. 세출내역서" sheetId="97" r:id="rId5"/>
    <sheet name="마.세입세출(개요)" sheetId="117" r:id="rId6"/>
    <sheet name="바. 증감사유" sheetId="119" r:id="rId7"/>
    <sheet name="사. 임직원보수 일람표" sheetId="92" r:id="rId8"/>
    <sheet name="아. 일용잡급일람표" sheetId="96" r:id="rId9"/>
    <sheet name="수급자보장급여" sheetId="106" state="hidden" r:id="rId10"/>
    <sheet name="4종" sheetId="107" state="hidden" r:id="rId11"/>
    <sheet name="시군구세출" sheetId="113" state="hidden" r:id="rId12"/>
    <sheet name="국도비세출" sheetId="112" state="hidden" r:id="rId13"/>
    <sheet name="자부담세출" sheetId="115" state="hidden" r:id="rId14"/>
    <sheet name="후원금세출" sheetId="114" state="hidden" r:id="rId15"/>
    <sheet name="다.후원금세입" sheetId="108" state="hidden" r:id="rId16"/>
    <sheet name="자부담세입" sheetId="109" state="hidden" r:id="rId17"/>
    <sheet name="국도비세입" sheetId="110" state="hidden" r:id="rId18"/>
    <sheet name="시군구세입" sheetId="111" state="hidden" r:id="rId19"/>
    <sheet name="세입세출내역" sheetId="102" state="hidden" r:id="rId20"/>
  </sheets>
  <externalReferences>
    <externalReference r:id="rId21"/>
  </externalReferences>
  <definedNames>
    <definedName name="F" localSheetId="1">#REF!</definedName>
    <definedName name="F" localSheetId="4">#REF!</definedName>
    <definedName name="F" localSheetId="6">#REF!</definedName>
    <definedName name="F" localSheetId="8">#REF!</definedName>
    <definedName name="F">#REF!</definedName>
    <definedName name="_xlnm.Print_Area" localSheetId="3">'다. 세입내역서'!$A$1:$J$55</definedName>
    <definedName name="_xlnm.Print_Area" localSheetId="8">'아. 일용잡급일람표'!$A$1:$O$13</definedName>
    <definedName name="_xlnm.Print_Area" localSheetId="0">표지!$A$1:$A$30</definedName>
    <definedName name="_xlnm.Print_Titles" localSheetId="2">'나. 세입세출(총괄)'!$4:$7</definedName>
    <definedName name="_xlnm.Print_Titles" localSheetId="3">'다. 세입내역서'!$4:$6</definedName>
    <definedName name="_xlnm.Print_Titles" localSheetId="4">'라. 세출내역서'!$4:$6</definedName>
    <definedName name="_xlnm.Print_Titles" localSheetId="6">'바. 증감사유'!$3:$6</definedName>
    <definedName name="_xlnm.Print_Titles" localSheetId="8">'아. 일용잡급일람표'!$3:$4</definedName>
  </definedNames>
  <calcPr calcId="162913"/>
</workbook>
</file>

<file path=xl/calcChain.xml><?xml version="1.0" encoding="utf-8"?>
<calcChain xmlns="http://schemas.openxmlformats.org/spreadsheetml/2006/main">
  <c r="U599" i="97" l="1"/>
  <c r="H599" i="97"/>
  <c r="X7" i="97"/>
  <c r="F36" i="119" l="1"/>
  <c r="E36" i="119"/>
  <c r="D36" i="119"/>
  <c r="G40" i="119"/>
  <c r="F38" i="119"/>
  <c r="F39" i="119"/>
  <c r="F40" i="119"/>
  <c r="F41" i="119"/>
  <c r="D38" i="119"/>
  <c r="E38" i="119"/>
  <c r="D39" i="119"/>
  <c r="E39" i="119"/>
  <c r="D40" i="119"/>
  <c r="E40" i="119"/>
  <c r="D41" i="119"/>
  <c r="E41" i="119"/>
  <c r="E37" i="119"/>
  <c r="D37" i="119"/>
  <c r="E38" i="52"/>
  <c r="E39" i="52"/>
  <c r="E40" i="52"/>
  <c r="E41" i="52"/>
  <c r="F41" i="52" s="1"/>
  <c r="E37" i="52"/>
  <c r="D36" i="52"/>
  <c r="D37" i="52"/>
  <c r="D38" i="52"/>
  <c r="D39" i="52"/>
  <c r="D40" i="52"/>
  <c r="D41" i="52"/>
  <c r="D45" i="23"/>
  <c r="G46" i="23"/>
  <c r="G47" i="23"/>
  <c r="G48" i="23"/>
  <c r="F46" i="23"/>
  <c r="F47" i="23"/>
  <c r="F48" i="23"/>
  <c r="D48" i="23"/>
  <c r="F40" i="52" l="1"/>
  <c r="E36" i="52"/>
  <c r="E45" i="23"/>
  <c r="E48" i="23"/>
  <c r="F39" i="52" l="1"/>
  <c r="F38" i="52"/>
  <c r="G37" i="119"/>
  <c r="F37" i="119"/>
  <c r="G38" i="119"/>
  <c r="G39" i="119"/>
  <c r="E26" i="119"/>
  <c r="F26" i="119" s="1"/>
  <c r="G26" i="119" s="1"/>
  <c r="E27" i="119"/>
  <c r="F27" i="119" s="1"/>
  <c r="G27" i="119" s="1"/>
  <c r="E32" i="119"/>
  <c r="E31" i="119" s="1"/>
  <c r="E30" i="119" s="1"/>
  <c r="E47" i="119"/>
  <c r="F47" i="119"/>
  <c r="E49" i="119"/>
  <c r="F49" i="119" s="1"/>
  <c r="G49" i="119" s="1"/>
  <c r="C22" i="117"/>
  <c r="C31" i="117"/>
  <c r="G36" i="119" l="1"/>
  <c r="F37" i="52"/>
  <c r="F36" i="52" s="1"/>
  <c r="F32" i="119"/>
  <c r="F31" i="119" s="1"/>
  <c r="E25" i="119"/>
  <c r="E24" i="119" s="1"/>
  <c r="E35" i="119"/>
  <c r="F25" i="119"/>
  <c r="G25" i="119" s="1"/>
  <c r="F24" i="119"/>
  <c r="G24" i="119" s="1"/>
  <c r="F30" i="119"/>
  <c r="G30" i="119" s="1"/>
  <c r="G31" i="119"/>
  <c r="G47" i="119"/>
  <c r="G32" i="119"/>
  <c r="F35" i="119" l="1"/>
  <c r="G35" i="119" s="1"/>
  <c r="D46" i="23" l="1"/>
  <c r="E46" i="23"/>
  <c r="E44" i="23" s="1"/>
  <c r="D18" i="52" l="1"/>
  <c r="D7" i="52"/>
  <c r="E50" i="52"/>
  <c r="F50" i="52" s="1"/>
  <c r="G50" i="52" s="1"/>
  <c r="E48" i="52"/>
  <c r="F48" i="52" s="1"/>
  <c r="G48" i="52" s="1"/>
  <c r="F35" i="52"/>
  <c r="L36" i="108"/>
  <c r="G37" i="52" l="1"/>
  <c r="E35" i="52"/>
  <c r="D14" i="90" s="1"/>
  <c r="E33" i="52"/>
  <c r="F33" i="52" s="1"/>
  <c r="G33" i="52" s="1"/>
  <c r="E28" i="52"/>
  <c r="F28" i="52" s="1"/>
  <c r="G28" i="52" s="1"/>
  <c r="E27" i="52"/>
  <c r="E26" i="52" l="1"/>
  <c r="G36" i="52"/>
  <c r="F32" i="52"/>
  <c r="G32" i="52" s="1"/>
  <c r="E32" i="52"/>
  <c r="E31" i="52" s="1"/>
  <c r="I13" i="90" s="1"/>
  <c r="F27" i="52"/>
  <c r="F26" i="52" s="1"/>
  <c r="F25" i="52" s="1"/>
  <c r="U664" i="97"/>
  <c r="U668" i="97"/>
  <c r="U680" i="97"/>
  <c r="U679" i="97"/>
  <c r="U678" i="97"/>
  <c r="U677" i="97"/>
  <c r="U676" i="97"/>
  <c r="U675" i="97"/>
  <c r="U674" i="97"/>
  <c r="U673" i="97"/>
  <c r="U672" i="97"/>
  <c r="U671" i="97"/>
  <c r="U670" i="97"/>
  <c r="U669" i="97"/>
  <c r="U665" i="97"/>
  <c r="E25" i="52" l="1"/>
  <c r="I12" i="90" s="1"/>
  <c r="G35" i="52"/>
  <c r="F31" i="52"/>
  <c r="G31" i="52" s="1"/>
  <c r="G27" i="52"/>
  <c r="U658" i="97"/>
  <c r="U661" i="97"/>
  <c r="U660" i="97"/>
  <c r="U659" i="97"/>
  <c r="U653" i="97"/>
  <c r="U654" i="97"/>
  <c r="O655" i="97"/>
  <c r="U655" i="97" s="1"/>
  <c r="U650" i="97"/>
  <c r="U643" i="97"/>
  <c r="U652" i="97"/>
  <c r="U651" i="97"/>
  <c r="U649" i="97"/>
  <c r="U648" i="97"/>
  <c r="U647" i="97"/>
  <c r="U646" i="97" s="1"/>
  <c r="O645" i="97"/>
  <c r="U645" i="97" s="1"/>
  <c r="U644" i="97"/>
  <c r="O644" i="97"/>
  <c r="G26" i="52" l="1"/>
  <c r="G25" i="52"/>
  <c r="U635" i="97"/>
  <c r="O642" i="97"/>
  <c r="U642" i="97" s="1"/>
  <c r="O641" i="97"/>
  <c r="U641" i="97" s="1"/>
  <c r="O640" i="97"/>
  <c r="U640" i="97" s="1"/>
  <c r="O639" i="97"/>
  <c r="U639" i="97" s="1"/>
  <c r="U638" i="97"/>
  <c r="O636" i="97"/>
  <c r="U637" i="97" l="1"/>
  <c r="O634" i="97"/>
  <c r="U633" i="97"/>
  <c r="U632" i="97"/>
  <c r="U631" i="97"/>
  <c r="U630" i="97"/>
  <c r="U629" i="97"/>
  <c r="U628" i="97"/>
  <c r="U627" i="97"/>
  <c r="U626" i="97"/>
  <c r="U625" i="97"/>
  <c r="U624" i="97"/>
  <c r="U623" i="97"/>
  <c r="U622" i="97"/>
  <c r="U621" i="97"/>
  <c r="U620" i="97"/>
  <c r="U619" i="97"/>
  <c r="U618" i="97"/>
  <c r="U617" i="97"/>
  <c r="U616" i="97" l="1"/>
  <c r="U615" i="97" s="1"/>
  <c r="U612" i="97" l="1"/>
  <c r="O613" i="97"/>
  <c r="U611" i="97"/>
  <c r="U610" i="97" s="1"/>
  <c r="O609" i="97"/>
  <c r="U608" i="97"/>
  <c r="U607" i="97"/>
  <c r="U606" i="97"/>
  <c r="U605" i="97" s="1"/>
  <c r="U604" i="97"/>
  <c r="U603" i="97"/>
  <c r="O602" i="97"/>
  <c r="U601" i="97"/>
  <c r="U600" i="97"/>
  <c r="O595" i="97"/>
  <c r="U594" i="97"/>
  <c r="U593" i="97"/>
  <c r="U592" i="97"/>
  <c r="U591" i="97"/>
  <c r="U590" i="97"/>
  <c r="U589" i="97"/>
  <c r="U588" i="97"/>
  <c r="U587" i="97"/>
  <c r="U586" i="97"/>
  <c r="U585" i="97"/>
  <c r="U584" i="97"/>
  <c r="O583" i="97"/>
  <c r="U583" i="97" s="1"/>
  <c r="U582" i="97"/>
  <c r="U581" i="97"/>
  <c r="U598" i="97" l="1"/>
  <c r="U555" i="97"/>
  <c r="O556" i="97"/>
  <c r="O516" i="97" l="1"/>
  <c r="U516" i="97" s="1"/>
  <c r="U515" i="97" s="1"/>
  <c r="U514" i="97" s="1"/>
  <c r="U597" i="97"/>
  <c r="U657" i="97"/>
  <c r="U656" i="97" s="1"/>
  <c r="U663" i="97"/>
  <c r="U662" i="97" s="1"/>
  <c r="U667" i="97"/>
  <c r="U666" i="97" s="1"/>
  <c r="U596" i="97" l="1"/>
  <c r="U580" i="97" s="1"/>
  <c r="U565" i="97"/>
  <c r="U558" i="97"/>
  <c r="U554" i="97"/>
  <c r="U547" i="97"/>
  <c r="U540" i="97"/>
  <c r="O521" i="97"/>
  <c r="U523" i="97"/>
  <c r="U577" i="97" l="1"/>
  <c r="U578" i="97"/>
  <c r="O570" i="97"/>
  <c r="U570" i="97" s="1"/>
  <c r="U566" i="97"/>
  <c r="U567" i="97"/>
  <c r="U568" i="97"/>
  <c r="U569" i="97"/>
  <c r="U571" i="97"/>
  <c r="U572" i="97"/>
  <c r="U573" i="97"/>
  <c r="U574" i="97"/>
  <c r="U575" i="97"/>
  <c r="U576" i="97"/>
  <c r="U559" i="97"/>
  <c r="U557" i="97" s="1"/>
  <c r="U537" i="97"/>
  <c r="O538" i="97"/>
  <c r="U564" i="97" l="1"/>
  <c r="U548" i="97"/>
  <c r="U549" i="97"/>
  <c r="U550" i="97"/>
  <c r="U551" i="97"/>
  <c r="U552" i="97"/>
  <c r="O553" i="97"/>
  <c r="O545" i="97"/>
  <c r="U541" i="97"/>
  <c r="U542" i="97"/>
  <c r="U543" i="97"/>
  <c r="U544" i="97"/>
  <c r="U562" i="97" l="1"/>
  <c r="U561" i="97" s="1"/>
  <c r="U539" i="97"/>
  <c r="U546" i="97"/>
  <c r="E515" i="97"/>
  <c r="U484" i="97"/>
  <c r="U536" i="97" l="1"/>
  <c r="U535" i="97"/>
  <c r="U534" i="97"/>
  <c r="U533" i="97"/>
  <c r="U532" i="97"/>
  <c r="U531" i="97"/>
  <c r="U530" i="97"/>
  <c r="U529" i="97"/>
  <c r="U528" i="97"/>
  <c r="U527" i="97"/>
  <c r="U526" i="97"/>
  <c r="U525" i="97"/>
  <c r="U524" i="97"/>
  <c r="O517" i="97"/>
  <c r="U522" i="97" l="1"/>
  <c r="U519" i="97" s="1"/>
  <c r="U134" i="97"/>
  <c r="U133" i="97" s="1"/>
  <c r="K522" i="97" l="1"/>
  <c r="AB519" i="97"/>
  <c r="E6" i="108"/>
  <c r="AC514" i="97"/>
  <c r="AC515" i="97"/>
  <c r="AA513" i="97"/>
  <c r="AA519" i="97" s="1"/>
  <c r="AC513" i="97" l="1"/>
  <c r="AC519" i="97" s="1"/>
  <c r="O492" i="97"/>
  <c r="U492" i="97" s="1"/>
  <c r="U471" i="97" l="1"/>
  <c r="U472" i="97"/>
  <c r="U473" i="97"/>
  <c r="U474" i="97"/>
  <c r="U475" i="97"/>
  <c r="U476" i="97"/>
  <c r="U477" i="97"/>
  <c r="U478" i="97"/>
  <c r="U479" i="97"/>
  <c r="U480" i="97"/>
  <c r="U481" i="97"/>
  <c r="U470" i="97"/>
  <c r="O245" i="97" l="1"/>
  <c r="O244" i="97"/>
  <c r="O243" i="97"/>
  <c r="O242" i="97"/>
  <c r="O241" i="97"/>
  <c r="O240" i="97"/>
  <c r="U240" i="97" s="1"/>
  <c r="O239" i="97"/>
  <c r="U239" i="97" s="1"/>
  <c r="O238" i="97"/>
  <c r="U238" i="97" s="1"/>
  <c r="O237" i="97"/>
  <c r="O236" i="97"/>
  <c r="U236" i="97" s="1"/>
  <c r="O234" i="97"/>
  <c r="O235" i="97"/>
  <c r="U235" i="97" s="1"/>
  <c r="O229" i="97"/>
  <c r="O230" i="97"/>
  <c r="O231" i="97"/>
  <c r="O232" i="97"/>
  <c r="O233" i="97"/>
  <c r="O228" i="97"/>
  <c r="O227" i="97"/>
  <c r="O226" i="97"/>
  <c r="O225" i="97"/>
  <c r="O224" i="97"/>
  <c r="O223" i="97"/>
  <c r="U223" i="97" s="1"/>
  <c r="O222" i="97"/>
  <c r="O221" i="97"/>
  <c r="O220" i="97"/>
  <c r="O219" i="97"/>
  <c r="O218" i="97"/>
  <c r="O217" i="97"/>
  <c r="O216" i="97"/>
  <c r="O215" i="97"/>
  <c r="O214" i="97"/>
  <c r="O213" i="97"/>
  <c r="O212" i="97"/>
  <c r="O211" i="97"/>
  <c r="O210" i="97"/>
  <c r="O209" i="97"/>
  <c r="U209" i="97" s="1"/>
  <c r="O208" i="97"/>
  <c r="O207" i="97"/>
  <c r="O198" i="97"/>
  <c r="O199" i="97"/>
  <c r="O200" i="97"/>
  <c r="O201" i="97"/>
  <c r="U201" i="97" s="1"/>
  <c r="O202" i="97"/>
  <c r="O203" i="97"/>
  <c r="O204" i="97"/>
  <c r="O205" i="97"/>
  <c r="O206" i="97"/>
  <c r="O197" i="97"/>
  <c r="O183" i="97"/>
  <c r="O184" i="97"/>
  <c r="O185" i="97"/>
  <c r="O186" i="97"/>
  <c r="O187" i="97"/>
  <c r="O188" i="97"/>
  <c r="O189" i="97"/>
  <c r="O190" i="97"/>
  <c r="O191" i="97"/>
  <c r="O192" i="97"/>
  <c r="O193" i="97"/>
  <c r="O194" i="97"/>
  <c r="O195" i="97"/>
  <c r="O196" i="97"/>
  <c r="U196" i="97" s="1"/>
  <c r="O182" i="97"/>
  <c r="O178" i="97"/>
  <c r="O179" i="97"/>
  <c r="O180" i="97"/>
  <c r="O181" i="97"/>
  <c r="O177" i="97"/>
  <c r="O175" i="97"/>
  <c r="O176" i="97"/>
  <c r="O153" i="97"/>
  <c r="O154" i="97"/>
  <c r="O155" i="97"/>
  <c r="O156" i="97"/>
  <c r="O157" i="97"/>
  <c r="O158" i="97"/>
  <c r="O159" i="97"/>
  <c r="O160" i="97"/>
  <c r="O161" i="97"/>
  <c r="O162" i="97"/>
  <c r="O163" i="97"/>
  <c r="O164" i="97"/>
  <c r="O165" i="97"/>
  <c r="O166" i="97"/>
  <c r="O167" i="97"/>
  <c r="O168" i="97"/>
  <c r="O169" i="97"/>
  <c r="O170" i="97"/>
  <c r="O171" i="97"/>
  <c r="O172" i="97"/>
  <c r="O173" i="97"/>
  <c r="O174" i="97"/>
  <c r="O152" i="97"/>
  <c r="O151" i="97"/>
  <c r="O148" i="97"/>
  <c r="O149" i="97"/>
  <c r="O150" i="97"/>
  <c r="O147" i="97"/>
  <c r="O138" i="97"/>
  <c r="O139" i="97"/>
  <c r="O140" i="97"/>
  <c r="O141" i="97"/>
  <c r="O142" i="97"/>
  <c r="O143" i="97"/>
  <c r="O144" i="97"/>
  <c r="O145" i="97"/>
  <c r="U145" i="97" s="1"/>
  <c r="O146" i="97"/>
  <c r="O137" i="97"/>
  <c r="U204" i="97" l="1"/>
  <c r="U208" i="97"/>
  <c r="U180" i="97"/>
  <c r="U181" i="97"/>
  <c r="U185" i="97"/>
  <c r="U189" i="97"/>
  <c r="U192" i="97"/>
  <c r="U193" i="97"/>
  <c r="U197" i="97"/>
  <c r="U149" i="97"/>
  <c r="U150" i="97"/>
  <c r="U151" i="97"/>
  <c r="U152" i="97"/>
  <c r="U153" i="97"/>
  <c r="U154" i="97"/>
  <c r="U155" i="97"/>
  <c r="U156" i="97"/>
  <c r="U157" i="97"/>
  <c r="U158" i="97"/>
  <c r="U159" i="97"/>
  <c r="U160" i="97"/>
  <c r="U161" i="97"/>
  <c r="U162" i="97"/>
  <c r="U163" i="97"/>
  <c r="U164" i="97"/>
  <c r="U165" i="97"/>
  <c r="U166" i="97"/>
  <c r="U167" i="97"/>
  <c r="U168" i="97"/>
  <c r="U169" i="97"/>
  <c r="U170" i="97"/>
  <c r="U171" i="97"/>
  <c r="U172" i="97"/>
  <c r="U173" i="97"/>
  <c r="U174" i="97"/>
  <c r="U175" i="97"/>
  <c r="U176" i="97"/>
  <c r="U177" i="97"/>
  <c r="U178" i="97"/>
  <c r="U179" i="97"/>
  <c r="U138" i="97"/>
  <c r="U139" i="97"/>
  <c r="U140" i="97"/>
  <c r="U141" i="97"/>
  <c r="U142" i="97"/>
  <c r="U143" i="97"/>
  <c r="U144" i="97"/>
  <c r="U146" i="97"/>
  <c r="U147" i="97"/>
  <c r="U148" i="97"/>
  <c r="U282" i="97"/>
  <c r="U137" i="97"/>
  <c r="U245" i="97"/>
  <c r="U244" i="97"/>
  <c r="U243" i="97"/>
  <c r="U242" i="97"/>
  <c r="U241" i="97"/>
  <c r="U237" i="97"/>
  <c r="U234" i="97"/>
  <c r="U233" i="97"/>
  <c r="U232" i="97"/>
  <c r="U231" i="97"/>
  <c r="U230" i="97"/>
  <c r="U229" i="97"/>
  <c r="U228" i="97"/>
  <c r="U227" i="97"/>
  <c r="U226" i="97"/>
  <c r="U225" i="97"/>
  <c r="U224" i="97"/>
  <c r="U222" i="97"/>
  <c r="U221" i="97"/>
  <c r="U220" i="97"/>
  <c r="U219" i="97"/>
  <c r="U218" i="97"/>
  <c r="U217" i="97"/>
  <c r="U216" i="97"/>
  <c r="U215" i="97"/>
  <c r="U214" i="97"/>
  <c r="U213" i="97"/>
  <c r="U212" i="97"/>
  <c r="U211" i="97"/>
  <c r="U210" i="97"/>
  <c r="U207" i="97"/>
  <c r="U206" i="97"/>
  <c r="U205" i="97"/>
  <c r="U203" i="97"/>
  <c r="U202" i="97"/>
  <c r="U200" i="97"/>
  <c r="U199" i="97"/>
  <c r="U198" i="97"/>
  <c r="U195" i="97"/>
  <c r="U194" i="97"/>
  <c r="U191" i="97"/>
  <c r="U190" i="97"/>
  <c r="U188" i="97"/>
  <c r="U187" i="97"/>
  <c r="U186" i="97"/>
  <c r="U184" i="97"/>
  <c r="U183" i="97"/>
  <c r="U182" i="97"/>
  <c r="K202" i="92"/>
  <c r="N190" i="92"/>
  <c r="N189" i="92"/>
  <c r="N188" i="92"/>
  <c r="Q188" i="92" s="1"/>
  <c r="N187" i="92"/>
  <c r="N186" i="92"/>
  <c r="N185" i="92"/>
  <c r="N184" i="92"/>
  <c r="Q184" i="92" s="1"/>
  <c r="N183" i="92"/>
  <c r="N182" i="92"/>
  <c r="N181" i="92"/>
  <c r="N180" i="92"/>
  <c r="Q180" i="92" s="1"/>
  <c r="N179" i="92"/>
  <c r="R179" i="92" s="1"/>
  <c r="R182" i="92" l="1"/>
  <c r="Q182" i="92"/>
  <c r="R190" i="92"/>
  <c r="Q190" i="92"/>
  <c r="R183" i="92"/>
  <c r="Q183" i="92"/>
  <c r="O185" i="92"/>
  <c r="U185" i="92" s="1"/>
  <c r="Q185" i="92"/>
  <c r="R188" i="92"/>
  <c r="R189" i="92"/>
  <c r="Q189" i="92"/>
  <c r="R186" i="92"/>
  <c r="Q186" i="92"/>
  <c r="R184" i="92"/>
  <c r="R181" i="92"/>
  <c r="S181" i="92" s="1"/>
  <c r="Q181" i="92"/>
  <c r="Q191" i="92" s="1"/>
  <c r="V492" i="97" s="1"/>
  <c r="W492" i="97" s="1"/>
  <c r="R187" i="92"/>
  <c r="Q187" i="92"/>
  <c r="R180" i="92"/>
  <c r="V227" i="97"/>
  <c r="V245" i="97"/>
  <c r="V233" i="97"/>
  <c r="U136" i="97"/>
  <c r="T185" i="92"/>
  <c r="R185" i="92"/>
  <c r="N191" i="92"/>
  <c r="AA190" i="92"/>
  <c r="AA183" i="92"/>
  <c r="AA182" i="92"/>
  <c r="AA186" i="92"/>
  <c r="AA188" i="92"/>
  <c r="P186" i="92"/>
  <c r="O189" i="92"/>
  <c r="AA181" i="92"/>
  <c r="O184" i="92"/>
  <c r="O180" i="92"/>
  <c r="AA185" i="92"/>
  <c r="AA179" i="92"/>
  <c r="AA187" i="92"/>
  <c r="AA180" i="92"/>
  <c r="AA189" i="92"/>
  <c r="S187" i="92"/>
  <c r="P190" i="92"/>
  <c r="O182" i="92"/>
  <c r="S183" i="92"/>
  <c r="S184" i="92"/>
  <c r="S182" i="92"/>
  <c r="AA184" i="92"/>
  <c r="O181" i="92"/>
  <c r="P184" i="92"/>
  <c r="S180" i="92"/>
  <c r="P180" i="92"/>
  <c r="O187" i="92"/>
  <c r="P181" i="92"/>
  <c r="P183" i="92"/>
  <c r="S186" i="92"/>
  <c r="O186" i="92"/>
  <c r="O188" i="92"/>
  <c r="P189" i="92"/>
  <c r="S190" i="92"/>
  <c r="P188" i="92"/>
  <c r="S189" i="92"/>
  <c r="P185" i="92"/>
  <c r="P187" i="92"/>
  <c r="R191" i="92" l="1"/>
  <c r="V493" i="97" s="1"/>
  <c r="T186" i="92"/>
  <c r="U186" i="92"/>
  <c r="U187" i="92"/>
  <c r="T187" i="92"/>
  <c r="S185" i="92"/>
  <c r="V185" i="92" s="1"/>
  <c r="W185" i="92" s="1"/>
  <c r="X185" i="92" s="1"/>
  <c r="U181" i="92"/>
  <c r="T181" i="92"/>
  <c r="V181" i="92" s="1"/>
  <c r="W181" i="92" s="1"/>
  <c r="X181" i="92" s="1"/>
  <c r="U180" i="92"/>
  <c r="T180" i="92"/>
  <c r="V180" i="92" s="1"/>
  <c r="T184" i="92"/>
  <c r="U184" i="92"/>
  <c r="T188" i="92"/>
  <c r="U188" i="92"/>
  <c r="T182" i="92"/>
  <c r="U182" i="92"/>
  <c r="U189" i="92"/>
  <c r="T189" i="92"/>
  <c r="S188" i="92"/>
  <c r="O183" i="92"/>
  <c r="P182" i="92"/>
  <c r="P179" i="92"/>
  <c r="O179" i="92"/>
  <c r="O190" i="92"/>
  <c r="P191" i="92" l="1"/>
  <c r="V184" i="92"/>
  <c r="W184" i="92" s="1"/>
  <c r="X184" i="92" s="1"/>
  <c r="V189" i="92"/>
  <c r="W189" i="92" s="1"/>
  <c r="X189" i="92" s="1"/>
  <c r="V186" i="92"/>
  <c r="W186" i="92" s="1"/>
  <c r="X186" i="92" s="1"/>
  <c r="V187" i="92"/>
  <c r="W187" i="92" s="1"/>
  <c r="X187" i="92" s="1"/>
  <c r="T190" i="92"/>
  <c r="U190" i="92"/>
  <c r="U183" i="92"/>
  <c r="T183" i="92"/>
  <c r="W180" i="92"/>
  <c r="X180" i="92" s="1"/>
  <c r="O191" i="92"/>
  <c r="O493" i="97" s="1"/>
  <c r="V182" i="92"/>
  <c r="W182" i="92" s="1"/>
  <c r="X182" i="92" s="1"/>
  <c r="V188" i="92"/>
  <c r="W188" i="92" s="1"/>
  <c r="X188" i="92" s="1"/>
  <c r="S179" i="92"/>
  <c r="O513" i="97"/>
  <c r="U512" i="97"/>
  <c r="U510" i="97"/>
  <c r="U511" i="97"/>
  <c r="U504" i="97"/>
  <c r="U505" i="97"/>
  <c r="U506" i="97"/>
  <c r="U507" i="97"/>
  <c r="U508" i="97"/>
  <c r="U509" i="97"/>
  <c r="U503" i="97"/>
  <c r="V190" i="92" l="1"/>
  <c r="W190" i="92" s="1"/>
  <c r="X190" i="92" s="1"/>
  <c r="U191" i="92"/>
  <c r="V496" i="97" s="1"/>
  <c r="V183" i="92"/>
  <c r="W183" i="92" s="1"/>
  <c r="X183" i="92" s="1"/>
  <c r="V179" i="92"/>
  <c r="S191" i="92"/>
  <c r="V494" i="97" s="1"/>
  <c r="T191" i="92"/>
  <c r="V495" i="97" s="1"/>
  <c r="U502" i="97"/>
  <c r="O500" i="97"/>
  <c r="U498" i="97"/>
  <c r="O499" i="97" s="1"/>
  <c r="U499" i="97" s="1"/>
  <c r="J167" i="92"/>
  <c r="U296" i="97" s="1"/>
  <c r="M169" i="92"/>
  <c r="M191" i="92" s="1"/>
  <c r="N169" i="92"/>
  <c r="K9" i="97"/>
  <c r="Z469" i="97"/>
  <c r="J157" i="92"/>
  <c r="U292" i="97" s="1"/>
  <c r="U500" i="97" l="1"/>
  <c r="O497" i="97"/>
  <c r="U497" i="97" s="1"/>
  <c r="O485" i="97"/>
  <c r="U485" i="97" s="1"/>
  <c r="W179" i="92"/>
  <c r="V191" i="92"/>
  <c r="V121" i="92"/>
  <c r="O501" i="97"/>
  <c r="U501" i="97" s="1"/>
  <c r="K486" i="97" l="1"/>
  <c r="W191" i="92"/>
  <c r="X179" i="92"/>
  <c r="X191" i="92" s="1"/>
  <c r="Y201" i="92"/>
  <c r="M201" i="92"/>
  <c r="J201" i="92"/>
  <c r="K200" i="92"/>
  <c r="L200" i="92" s="1"/>
  <c r="I200" i="92"/>
  <c r="H200" i="92"/>
  <c r="Z201" i="92"/>
  <c r="H199" i="92"/>
  <c r="U132" i="97"/>
  <c r="P614" i="97"/>
  <c r="O22" i="97"/>
  <c r="S22" i="97"/>
  <c r="S131" i="97"/>
  <c r="O131" i="97"/>
  <c r="S130" i="97"/>
  <c r="O130" i="97"/>
  <c r="S129" i="97"/>
  <c r="S128" i="97"/>
  <c r="O129" i="97"/>
  <c r="O128" i="97"/>
  <c r="S127" i="97"/>
  <c r="O127" i="97"/>
  <c r="S126" i="97"/>
  <c r="S125" i="97"/>
  <c r="O126" i="97"/>
  <c r="O125" i="97"/>
  <c r="S124" i="97"/>
  <c r="S123" i="97"/>
  <c r="O124" i="97"/>
  <c r="O123" i="97"/>
  <c r="S122" i="97"/>
  <c r="O122" i="97"/>
  <c r="S121" i="97"/>
  <c r="O121" i="97"/>
  <c r="S120" i="97"/>
  <c r="S119" i="97"/>
  <c r="O120" i="97"/>
  <c r="O119" i="97"/>
  <c r="S118" i="97"/>
  <c r="O118" i="97"/>
  <c r="S117" i="97"/>
  <c r="O117" i="97"/>
  <c r="S116" i="97"/>
  <c r="S115" i="97"/>
  <c r="O116" i="97"/>
  <c r="O115" i="97"/>
  <c r="O111" i="97"/>
  <c r="O112" i="97"/>
  <c r="O113" i="97"/>
  <c r="O114" i="97"/>
  <c r="O110" i="97"/>
  <c r="S110" i="97"/>
  <c r="S111" i="97"/>
  <c r="S112" i="97"/>
  <c r="S113" i="97"/>
  <c r="S114" i="97"/>
  <c r="S109" i="97"/>
  <c r="AB169" i="92"/>
  <c r="AB191" i="92" s="1"/>
  <c r="K168" i="92"/>
  <c r="L168" i="92" s="1"/>
  <c r="I168" i="92"/>
  <c r="H168" i="92"/>
  <c r="Z167" i="92"/>
  <c r="Y167" i="92"/>
  <c r="K167" i="92"/>
  <c r="H167" i="92"/>
  <c r="K166" i="92"/>
  <c r="L166" i="92" s="1"/>
  <c r="I166" i="92"/>
  <c r="H166" i="92"/>
  <c r="Z165" i="92"/>
  <c r="Y165" i="92"/>
  <c r="K165" i="92"/>
  <c r="J165" i="92"/>
  <c r="U295" i="97" s="1"/>
  <c r="I165" i="92"/>
  <c r="H165" i="92"/>
  <c r="K164" i="92"/>
  <c r="I164" i="92"/>
  <c r="H164" i="92"/>
  <c r="Z163" i="92"/>
  <c r="Y163" i="92"/>
  <c r="K163" i="92"/>
  <c r="J163" i="92"/>
  <c r="U294" i="97" s="1"/>
  <c r="H163" i="92"/>
  <c r="K162" i="92"/>
  <c r="L162" i="92" s="1"/>
  <c r="I162" i="92"/>
  <c r="H162" i="92"/>
  <c r="Z161" i="92"/>
  <c r="Y161" i="92"/>
  <c r="K161" i="92"/>
  <c r="I161" i="92"/>
  <c r="H161" i="92"/>
  <c r="K160" i="92"/>
  <c r="I160" i="92"/>
  <c r="H160" i="92"/>
  <c r="Z159" i="92"/>
  <c r="Y159" i="92"/>
  <c r="K159" i="92"/>
  <c r="J159" i="92"/>
  <c r="U293" i="97" s="1"/>
  <c r="H159" i="92"/>
  <c r="K158" i="92"/>
  <c r="I158" i="92"/>
  <c r="H158" i="92"/>
  <c r="Z157" i="92"/>
  <c r="Y157" i="92"/>
  <c r="K157" i="92"/>
  <c r="H157" i="92"/>
  <c r="K156" i="92"/>
  <c r="L156" i="92" s="1"/>
  <c r="I156" i="92"/>
  <c r="H156" i="92"/>
  <c r="Z155" i="92"/>
  <c r="Y155" i="92"/>
  <c r="K155" i="92"/>
  <c r="I155" i="92"/>
  <c r="H155" i="92"/>
  <c r="K154" i="92"/>
  <c r="L154" i="92" s="1"/>
  <c r="O154" i="92" s="1"/>
  <c r="H154" i="92"/>
  <c r="Z153" i="92"/>
  <c r="Y153" i="92"/>
  <c r="K153" i="92"/>
  <c r="J153" i="92"/>
  <c r="U291" i="97" s="1"/>
  <c r="I153" i="92"/>
  <c r="H153" i="92"/>
  <c r="K152" i="92"/>
  <c r="I152" i="92"/>
  <c r="H152" i="92"/>
  <c r="Z151" i="92"/>
  <c r="Y151" i="92"/>
  <c r="K151" i="92"/>
  <c r="I151" i="92"/>
  <c r="H151" i="92"/>
  <c r="K150" i="92"/>
  <c r="L150" i="92" s="1"/>
  <c r="I150" i="92"/>
  <c r="H150" i="92"/>
  <c r="Z149" i="92"/>
  <c r="Y149" i="92"/>
  <c r="K149" i="92"/>
  <c r="I149" i="92"/>
  <c r="H149" i="92"/>
  <c r="K148" i="92"/>
  <c r="L148" i="92" s="1"/>
  <c r="I148" i="92"/>
  <c r="H148" i="92"/>
  <c r="Z147" i="92"/>
  <c r="Y147" i="92"/>
  <c r="K147" i="92"/>
  <c r="I147" i="92"/>
  <c r="H147" i="92"/>
  <c r="K146" i="92"/>
  <c r="I146" i="92"/>
  <c r="H146" i="92"/>
  <c r="Z145" i="92"/>
  <c r="Y145" i="92"/>
  <c r="K145" i="92"/>
  <c r="O402" i="97" s="1"/>
  <c r="U402" i="97" s="1"/>
  <c r="H145" i="92"/>
  <c r="K135" i="92"/>
  <c r="I135" i="92"/>
  <c r="H135" i="92"/>
  <c r="Z134" i="92"/>
  <c r="Y134" i="92"/>
  <c r="K134" i="92"/>
  <c r="J134" i="92"/>
  <c r="U290" i="97" s="1"/>
  <c r="I134" i="92"/>
  <c r="H134" i="92"/>
  <c r="Y133" i="92"/>
  <c r="K133" i="92"/>
  <c r="I133" i="92"/>
  <c r="H133" i="92"/>
  <c r="Z132" i="92"/>
  <c r="Y132" i="92"/>
  <c r="K132" i="92"/>
  <c r="J132" i="92"/>
  <c r="U289" i="97" s="1"/>
  <c r="I132" i="92"/>
  <c r="H132" i="92"/>
  <c r="K131" i="92"/>
  <c r="I131" i="92"/>
  <c r="H131" i="92"/>
  <c r="Z130" i="92"/>
  <c r="Y130" i="92"/>
  <c r="K130" i="92"/>
  <c r="I130" i="92"/>
  <c r="H130" i="92"/>
  <c r="S108" i="97"/>
  <c r="O108" i="97"/>
  <c r="S107" i="97"/>
  <c r="O107" i="97"/>
  <c r="S106" i="97"/>
  <c r="O106" i="97"/>
  <c r="S105" i="97"/>
  <c r="S104" i="97"/>
  <c r="O105" i="97"/>
  <c r="O104" i="97"/>
  <c r="S103" i="97"/>
  <c r="O103" i="97"/>
  <c r="S102" i="97"/>
  <c r="S101" i="97"/>
  <c r="O102" i="97"/>
  <c r="O101" i="97"/>
  <c r="S100" i="97"/>
  <c r="O100" i="97"/>
  <c r="S99" i="97"/>
  <c r="O99" i="97"/>
  <c r="S98" i="97"/>
  <c r="O98" i="97"/>
  <c r="S97" i="97"/>
  <c r="O97" i="97"/>
  <c r="S96" i="97"/>
  <c r="O96" i="97"/>
  <c r="S95" i="97"/>
  <c r="O95" i="97"/>
  <c r="S94" i="97"/>
  <c r="S93" i="97"/>
  <c r="O94" i="97"/>
  <c r="O93" i="97"/>
  <c r="S92" i="97"/>
  <c r="O92" i="97"/>
  <c r="S90" i="97"/>
  <c r="S91" i="97"/>
  <c r="O90" i="97"/>
  <c r="O91" i="97"/>
  <c r="S89" i="97"/>
  <c r="S88" i="97"/>
  <c r="O89" i="97"/>
  <c r="O88" i="97"/>
  <c r="S87" i="97"/>
  <c r="O87" i="97"/>
  <c r="S86" i="97"/>
  <c r="O86" i="97"/>
  <c r="S85" i="97"/>
  <c r="S84" i="97"/>
  <c r="O85" i="97"/>
  <c r="O84" i="97"/>
  <c r="O83" i="97"/>
  <c r="S81" i="97"/>
  <c r="S82" i="97"/>
  <c r="S83" i="97"/>
  <c r="O81" i="97"/>
  <c r="O82" i="97"/>
  <c r="S74" i="97"/>
  <c r="S75" i="97"/>
  <c r="S76" i="97"/>
  <c r="S77" i="97"/>
  <c r="S78" i="97"/>
  <c r="S79" i="97"/>
  <c r="S80" i="97"/>
  <c r="S73" i="97"/>
  <c r="O74" i="97"/>
  <c r="O75" i="97"/>
  <c r="O76" i="97"/>
  <c r="O77" i="97"/>
  <c r="O78" i="97"/>
  <c r="O79" i="97"/>
  <c r="O80" i="97"/>
  <c r="O73" i="97"/>
  <c r="L151" i="92" l="1"/>
  <c r="AF406" i="97" s="1"/>
  <c r="O406" i="97"/>
  <c r="U406" i="97" s="1"/>
  <c r="L134" i="92"/>
  <c r="AF400" i="97" s="1"/>
  <c r="O467" i="97"/>
  <c r="U467" i="97" s="1"/>
  <c r="O400" i="97"/>
  <c r="U400" i="97" s="1"/>
  <c r="L146" i="92"/>
  <c r="AF403" i="97" s="1"/>
  <c r="O403" i="97"/>
  <c r="U403" i="97" s="1"/>
  <c r="AG403" i="97" s="1"/>
  <c r="L152" i="92"/>
  <c r="AF407" i="97" s="1"/>
  <c r="O407" i="97"/>
  <c r="U407" i="97" s="1"/>
  <c r="L157" i="92"/>
  <c r="AF410" i="97" s="1"/>
  <c r="O410" i="97"/>
  <c r="U410" i="97" s="1"/>
  <c r="L163" i="92"/>
  <c r="AF415" i="97" s="1"/>
  <c r="O415" i="97"/>
  <c r="U415" i="97" s="1"/>
  <c r="P199" i="92"/>
  <c r="L133" i="92"/>
  <c r="AF399" i="97" s="1"/>
  <c r="O399" i="97"/>
  <c r="U399" i="97" s="1"/>
  <c r="L132" i="92"/>
  <c r="AF398" i="97" s="1"/>
  <c r="O398" i="97"/>
  <c r="U398" i="97" s="1"/>
  <c r="Y169" i="92"/>
  <c r="L159" i="92"/>
  <c r="AF412" i="97" s="1"/>
  <c r="O412" i="97"/>
  <c r="U412" i="97" s="1"/>
  <c r="L160" i="92"/>
  <c r="AF413" i="97" s="1"/>
  <c r="O413" i="97"/>
  <c r="U413" i="97" s="1"/>
  <c r="L147" i="92"/>
  <c r="AF404" i="97" s="1"/>
  <c r="O404" i="97"/>
  <c r="U404" i="97" s="1"/>
  <c r="L165" i="92"/>
  <c r="AF417" i="97" s="1"/>
  <c r="O417" i="97"/>
  <c r="U417" i="97" s="1"/>
  <c r="L131" i="92"/>
  <c r="AF397" i="97" s="1"/>
  <c r="O397" i="97"/>
  <c r="U397" i="97" s="1"/>
  <c r="L153" i="92"/>
  <c r="AF408" i="97" s="1"/>
  <c r="O408" i="97"/>
  <c r="U408" i="97" s="1"/>
  <c r="AG408" i="97" s="1"/>
  <c r="L161" i="92"/>
  <c r="AF414" i="97" s="1"/>
  <c r="O414" i="97"/>
  <c r="U414" i="97" s="1"/>
  <c r="L167" i="92"/>
  <c r="AF418" i="97" s="1"/>
  <c r="O418" i="97"/>
  <c r="U418" i="97" s="1"/>
  <c r="L130" i="92"/>
  <c r="AF396" i="97" s="1"/>
  <c r="O396" i="97"/>
  <c r="U396" i="97" s="1"/>
  <c r="M135" i="92"/>
  <c r="AF468" i="97" s="1"/>
  <c r="O468" i="97"/>
  <c r="U468" i="97" s="1"/>
  <c r="O401" i="97"/>
  <c r="U401" i="97" s="1"/>
  <c r="L149" i="92"/>
  <c r="AF405" i="97" s="1"/>
  <c r="O405" i="97"/>
  <c r="U405" i="97" s="1"/>
  <c r="O152" i="92"/>
  <c r="Q152" i="92" s="1"/>
  <c r="L155" i="92"/>
  <c r="AF409" i="97" s="1"/>
  <c r="O409" i="97"/>
  <c r="U409" i="97" s="1"/>
  <c r="L158" i="92"/>
  <c r="AF411" i="97" s="1"/>
  <c r="O411" i="97"/>
  <c r="U411" i="97" s="1"/>
  <c r="AG411" i="97" s="1"/>
  <c r="L164" i="92"/>
  <c r="AF416" i="97" s="1"/>
  <c r="O416" i="97"/>
  <c r="U416" i="97" s="1"/>
  <c r="H136" i="92"/>
  <c r="Z169" i="92"/>
  <c r="P154" i="92"/>
  <c r="P132" i="92"/>
  <c r="J169" i="92"/>
  <c r="P130" i="92"/>
  <c r="P131" i="92"/>
  <c r="AA132" i="92"/>
  <c r="AA159" i="92"/>
  <c r="P161" i="92"/>
  <c r="AA163" i="92"/>
  <c r="P165" i="92"/>
  <c r="P133" i="92"/>
  <c r="P149" i="92"/>
  <c r="P151" i="92"/>
  <c r="P153" i="92"/>
  <c r="P155" i="92"/>
  <c r="P157" i="92"/>
  <c r="P158" i="92"/>
  <c r="P160" i="92"/>
  <c r="P162" i="92"/>
  <c r="P164" i="92"/>
  <c r="P167" i="92"/>
  <c r="P168" i="92"/>
  <c r="H169" i="92"/>
  <c r="P146" i="92"/>
  <c r="P148" i="92"/>
  <c r="P150" i="92"/>
  <c r="P156" i="92"/>
  <c r="P166" i="92"/>
  <c r="AA147" i="92"/>
  <c r="O166" i="92"/>
  <c r="T166" i="92" s="1"/>
  <c r="Y136" i="92"/>
  <c r="AA134" i="92"/>
  <c r="O149" i="92"/>
  <c r="T149" i="92" s="1"/>
  <c r="AA155" i="92"/>
  <c r="O146" i="92"/>
  <c r="R146" i="92" s="1"/>
  <c r="S146" i="92" s="1"/>
  <c r="I169" i="92"/>
  <c r="W245" i="97" s="1"/>
  <c r="AA151" i="92"/>
  <c r="AA165" i="92"/>
  <c r="R154" i="92"/>
  <c r="S154" i="92" s="1"/>
  <c r="O131" i="92"/>
  <c r="T131" i="92" s="1"/>
  <c r="AA157" i="92"/>
  <c r="AA161" i="92"/>
  <c r="O168" i="92"/>
  <c r="Q168" i="92" s="1"/>
  <c r="O109" i="97"/>
  <c r="U109" i="97" s="1"/>
  <c r="J136" i="92"/>
  <c r="I136" i="92"/>
  <c r="Z136" i="92"/>
  <c r="O133" i="92"/>
  <c r="U133" i="92" s="1"/>
  <c r="M134" i="92"/>
  <c r="O150" i="92"/>
  <c r="R150" i="92" s="1"/>
  <c r="S150" i="92" s="1"/>
  <c r="O156" i="92"/>
  <c r="U156" i="92" s="1"/>
  <c r="O160" i="92"/>
  <c r="U160" i="92" s="1"/>
  <c r="O161" i="92"/>
  <c r="T161" i="92" s="1"/>
  <c r="O167" i="92"/>
  <c r="R167" i="92" s="1"/>
  <c r="S167" i="92" s="1"/>
  <c r="AA167" i="92"/>
  <c r="O148" i="92"/>
  <c r="R148" i="92" s="1"/>
  <c r="S148" i="92" s="1"/>
  <c r="AA149" i="92"/>
  <c r="O151" i="92"/>
  <c r="T151" i="92" s="1"/>
  <c r="AA153" i="92"/>
  <c r="O153" i="92"/>
  <c r="Q153" i="92" s="1"/>
  <c r="H201" i="92"/>
  <c r="I201" i="92"/>
  <c r="O200" i="92"/>
  <c r="R200" i="92" s="1"/>
  <c r="S200" i="92" s="1"/>
  <c r="O199" i="92"/>
  <c r="Q199" i="92" s="1"/>
  <c r="AA199" i="92"/>
  <c r="AA201" i="92" s="1"/>
  <c r="O155" i="92"/>
  <c r="Q155" i="92" s="1"/>
  <c r="U118" i="97"/>
  <c r="U111" i="97"/>
  <c r="U124" i="97"/>
  <c r="U130" i="97"/>
  <c r="U22" i="97"/>
  <c r="U115" i="97"/>
  <c r="U117" i="97"/>
  <c r="U119" i="97"/>
  <c r="U121" i="97"/>
  <c r="U125" i="97"/>
  <c r="U127" i="97"/>
  <c r="U128" i="97"/>
  <c r="U131" i="97"/>
  <c r="U116" i="97"/>
  <c r="U120" i="97"/>
  <c r="U126" i="97"/>
  <c r="U129" i="97"/>
  <c r="U123" i="97"/>
  <c r="U122" i="97"/>
  <c r="U87" i="97"/>
  <c r="U112" i="97"/>
  <c r="U113" i="97"/>
  <c r="U110" i="97"/>
  <c r="U114" i="97"/>
  <c r="U88" i="97"/>
  <c r="U99" i="97"/>
  <c r="U107" i="97"/>
  <c r="O165" i="92"/>
  <c r="U165" i="92" s="1"/>
  <c r="AA145" i="92"/>
  <c r="O158" i="92"/>
  <c r="R158" i="92" s="1"/>
  <c r="S158" i="92" s="1"/>
  <c r="O162" i="92"/>
  <c r="U162" i="92" s="1"/>
  <c r="L145" i="92"/>
  <c r="T154" i="92"/>
  <c r="Q154" i="92"/>
  <c r="U154" i="92"/>
  <c r="O132" i="92"/>
  <c r="R132" i="92" s="1"/>
  <c r="O130" i="92"/>
  <c r="AA130" i="92"/>
  <c r="L135" i="92"/>
  <c r="O135" i="92" s="1"/>
  <c r="Q135" i="92" s="1"/>
  <c r="U104" i="97"/>
  <c r="U96" i="97"/>
  <c r="U82" i="97"/>
  <c r="U85" i="97"/>
  <c r="U102" i="97"/>
  <c r="U108" i="97"/>
  <c r="U89" i="97"/>
  <c r="U90" i="97"/>
  <c r="U97" i="97"/>
  <c r="U86" i="97"/>
  <c r="U93" i="97"/>
  <c r="U101" i="97"/>
  <c r="U106" i="97"/>
  <c r="U105" i="97"/>
  <c r="U103" i="97"/>
  <c r="U100" i="97"/>
  <c r="U98" i="97"/>
  <c r="U95" i="97"/>
  <c r="U94" i="97"/>
  <c r="U92" i="97"/>
  <c r="U91" i="97"/>
  <c r="U81" i="97"/>
  <c r="U84" i="97"/>
  <c r="U83" i="97"/>
  <c r="S53" i="97"/>
  <c r="S54" i="97"/>
  <c r="S55" i="97"/>
  <c r="S56" i="97"/>
  <c r="S57" i="97"/>
  <c r="S58" i="97"/>
  <c r="S59" i="97"/>
  <c r="S60" i="97"/>
  <c r="S61" i="97"/>
  <c r="S62" i="97"/>
  <c r="S63" i="97"/>
  <c r="S64" i="97"/>
  <c r="S65" i="97"/>
  <c r="S66" i="97"/>
  <c r="S67" i="97"/>
  <c r="S68" i="97"/>
  <c r="S69" i="97"/>
  <c r="S70" i="97"/>
  <c r="S71" i="97"/>
  <c r="S72" i="97"/>
  <c r="O53" i="97"/>
  <c r="O54" i="97"/>
  <c r="O55" i="97"/>
  <c r="O56" i="97"/>
  <c r="O57" i="97"/>
  <c r="O58" i="97"/>
  <c r="O59" i="97"/>
  <c r="O60" i="97"/>
  <c r="O61" i="97"/>
  <c r="O62" i="97"/>
  <c r="O63" i="97"/>
  <c r="O64" i="97"/>
  <c r="O65" i="97"/>
  <c r="O66" i="97"/>
  <c r="O67" i="97"/>
  <c r="O68" i="97"/>
  <c r="O69" i="97"/>
  <c r="O70" i="97"/>
  <c r="O71" i="97"/>
  <c r="O72" i="97"/>
  <c r="S52" i="97"/>
  <c r="O52" i="97"/>
  <c r="O37" i="97"/>
  <c r="O38" i="97"/>
  <c r="O39" i="97"/>
  <c r="S35" i="97"/>
  <c r="S36" i="97"/>
  <c r="S37" i="97"/>
  <c r="S38" i="97"/>
  <c r="S39" i="97"/>
  <c r="S40" i="97"/>
  <c r="S41" i="97"/>
  <c r="S42" i="97"/>
  <c r="S43" i="97"/>
  <c r="S44" i="97"/>
  <c r="S45" i="97"/>
  <c r="S46" i="97"/>
  <c r="S47" i="97"/>
  <c r="S48" i="97"/>
  <c r="S49" i="97"/>
  <c r="S50" i="97"/>
  <c r="S51" i="97"/>
  <c r="O45" i="97"/>
  <c r="O46" i="97"/>
  <c r="O47" i="97"/>
  <c r="O48" i="97"/>
  <c r="O49" i="97"/>
  <c r="O50" i="97"/>
  <c r="O51" i="97"/>
  <c r="U75" i="97"/>
  <c r="U79" i="97"/>
  <c r="O35" i="97"/>
  <c r="O36" i="97"/>
  <c r="O40" i="97"/>
  <c r="O41" i="97"/>
  <c r="O42" i="97"/>
  <c r="O43" i="97"/>
  <c r="O44" i="97"/>
  <c r="S34" i="97"/>
  <c r="S33" i="97"/>
  <c r="O34" i="97"/>
  <c r="O33" i="97"/>
  <c r="O32" i="97"/>
  <c r="O31" i="97"/>
  <c r="O30" i="97"/>
  <c r="S30" i="97"/>
  <c r="S29" i="97"/>
  <c r="O29" i="97"/>
  <c r="S28" i="97"/>
  <c r="S27" i="97"/>
  <c r="O28" i="97"/>
  <c r="O27" i="97"/>
  <c r="O26" i="97"/>
  <c r="S25" i="97"/>
  <c r="O25" i="97"/>
  <c r="S24" i="97"/>
  <c r="O24" i="97"/>
  <c r="O23" i="97"/>
  <c r="S21" i="97"/>
  <c r="O21" i="97"/>
  <c r="O17" i="97"/>
  <c r="S17" i="97"/>
  <c r="O18" i="97"/>
  <c r="S18" i="97"/>
  <c r="O19" i="97"/>
  <c r="S19" i="97"/>
  <c r="O20" i="97"/>
  <c r="S20" i="97"/>
  <c r="S26" i="97"/>
  <c r="S31" i="97"/>
  <c r="S32" i="97"/>
  <c r="O16" i="97"/>
  <c r="O14" i="97"/>
  <c r="O15" i="97"/>
  <c r="S12" i="97"/>
  <c r="S13" i="97"/>
  <c r="S14" i="97"/>
  <c r="S15" i="97"/>
  <c r="S16" i="97"/>
  <c r="O13" i="97"/>
  <c r="O12" i="97"/>
  <c r="S11" i="97"/>
  <c r="O11" i="97"/>
  <c r="S10" i="97"/>
  <c r="O10" i="97"/>
  <c r="O159" i="92" l="1"/>
  <c r="R159" i="92" s="1"/>
  <c r="S159" i="92" s="1"/>
  <c r="P159" i="92"/>
  <c r="AG405" i="97"/>
  <c r="R130" i="92"/>
  <c r="S130" i="92" s="1"/>
  <c r="P152" i="92"/>
  <c r="P147" i="92"/>
  <c r="P163" i="92"/>
  <c r="AG416" i="97"/>
  <c r="AG396" i="97"/>
  <c r="AG414" i="97"/>
  <c r="Q149" i="92"/>
  <c r="AG406" i="97"/>
  <c r="O163" i="92"/>
  <c r="Q163" i="92" s="1"/>
  <c r="O147" i="92"/>
  <c r="Q147" i="92" s="1"/>
  <c r="AG397" i="97"/>
  <c r="AG398" i="97"/>
  <c r="AG404" i="97"/>
  <c r="AG412" i="97"/>
  <c r="AG415" i="97"/>
  <c r="AG407" i="97"/>
  <c r="AG400" i="97"/>
  <c r="O134" i="92"/>
  <c r="Q134" i="92" s="1"/>
  <c r="AF467" i="97"/>
  <c r="O157" i="92"/>
  <c r="AG468" i="97"/>
  <c r="Q146" i="92"/>
  <c r="AG399" i="97"/>
  <c r="AG410" i="97"/>
  <c r="Q151" i="92"/>
  <c r="AG467" i="97"/>
  <c r="P145" i="92"/>
  <c r="AF402" i="97"/>
  <c r="AG402" i="97" s="1"/>
  <c r="L136" i="92"/>
  <c r="AF401" i="97"/>
  <c r="T152" i="92"/>
  <c r="O164" i="92"/>
  <c r="R164" i="92" s="1"/>
  <c r="S164" i="92" s="1"/>
  <c r="AG409" i="97"/>
  <c r="AG401" i="97"/>
  <c r="AG418" i="97"/>
  <c r="AG417" i="97"/>
  <c r="AG413" i="97"/>
  <c r="U65" i="97"/>
  <c r="U59" i="97"/>
  <c r="U53" i="97"/>
  <c r="U69" i="97"/>
  <c r="U63" i="97"/>
  <c r="U13" i="97"/>
  <c r="U61" i="97"/>
  <c r="U55" i="97"/>
  <c r="U71" i="97"/>
  <c r="U57" i="97"/>
  <c r="T150" i="92"/>
  <c r="Q156" i="92"/>
  <c r="U152" i="92"/>
  <c r="AA169" i="92"/>
  <c r="U159" i="92"/>
  <c r="R155" i="92"/>
  <c r="S155" i="92" s="1"/>
  <c r="R152" i="92"/>
  <c r="S152" i="92" s="1"/>
  <c r="T155" i="92"/>
  <c r="Q150" i="92"/>
  <c r="Q165" i="92"/>
  <c r="R166" i="92"/>
  <c r="S166" i="92" s="1"/>
  <c r="Q160" i="92"/>
  <c r="R153" i="92"/>
  <c r="S153" i="92" s="1"/>
  <c r="Q164" i="92"/>
  <c r="T160" i="92"/>
  <c r="U158" i="92"/>
  <c r="T168" i="92"/>
  <c r="U166" i="92"/>
  <c r="Q166" i="92"/>
  <c r="Q159" i="92"/>
  <c r="U151" i="92"/>
  <c r="T159" i="92"/>
  <c r="R149" i="92"/>
  <c r="S149" i="92" s="1"/>
  <c r="T164" i="92"/>
  <c r="U155" i="92"/>
  <c r="U164" i="92"/>
  <c r="R133" i="92"/>
  <c r="S133" i="92" s="1"/>
  <c r="S132" i="92"/>
  <c r="R131" i="92"/>
  <c r="S131" i="92" s="1"/>
  <c r="R160" i="92"/>
  <c r="S160" i="92" s="1"/>
  <c r="T132" i="92"/>
  <c r="U163" i="92"/>
  <c r="T163" i="92"/>
  <c r="U149" i="92"/>
  <c r="AA136" i="92"/>
  <c r="Q162" i="92"/>
  <c r="P169" i="92"/>
  <c r="Q131" i="92"/>
  <c r="U146" i="92"/>
  <c r="T153" i="92"/>
  <c r="T148" i="92"/>
  <c r="P135" i="92"/>
  <c r="U131" i="92"/>
  <c r="P134" i="92"/>
  <c r="R147" i="92"/>
  <c r="S147" i="92" s="1"/>
  <c r="T156" i="92"/>
  <c r="U153" i="92"/>
  <c r="R156" i="92"/>
  <c r="S156" i="92" s="1"/>
  <c r="O145" i="92"/>
  <c r="Q145" i="92" s="1"/>
  <c r="L169" i="92"/>
  <c r="T167" i="92"/>
  <c r="Q158" i="92"/>
  <c r="U150" i="92"/>
  <c r="Q167" i="92"/>
  <c r="U167" i="92"/>
  <c r="R163" i="92"/>
  <c r="S163" i="92" s="1"/>
  <c r="T133" i="92"/>
  <c r="Q148" i="92"/>
  <c r="R168" i="92"/>
  <c r="S168" i="92" s="1"/>
  <c r="U148" i="92"/>
  <c r="U161" i="92"/>
  <c r="U168" i="92"/>
  <c r="R161" i="92"/>
  <c r="S161" i="92" s="1"/>
  <c r="R151" i="92"/>
  <c r="S151" i="92" s="1"/>
  <c r="R165" i="92"/>
  <c r="S165" i="92" s="1"/>
  <c r="Q133" i="92"/>
  <c r="V154" i="92"/>
  <c r="W154" i="92" s="1"/>
  <c r="Q161" i="92"/>
  <c r="M136" i="92"/>
  <c r="U67" i="97"/>
  <c r="U14" i="97"/>
  <c r="U200" i="92"/>
  <c r="T200" i="92"/>
  <c r="P200" i="92"/>
  <c r="P201" i="92" s="1"/>
  <c r="Q200" i="92"/>
  <c r="O201" i="92"/>
  <c r="T199" i="92"/>
  <c r="T201" i="92" s="1"/>
  <c r="V500" i="97" s="1"/>
  <c r="W500" i="97" s="1"/>
  <c r="R199" i="92"/>
  <c r="U199" i="92"/>
  <c r="L201" i="92"/>
  <c r="T165" i="92"/>
  <c r="T162" i="92"/>
  <c r="R162" i="92"/>
  <c r="T158" i="92"/>
  <c r="T146" i="92"/>
  <c r="U130" i="92"/>
  <c r="Q130" i="92"/>
  <c r="T130" i="92"/>
  <c r="U132" i="92"/>
  <c r="Q132" i="92"/>
  <c r="R135" i="92"/>
  <c r="U42" i="97"/>
  <c r="U77" i="97"/>
  <c r="U73" i="97"/>
  <c r="U45" i="97"/>
  <c r="U51" i="97"/>
  <c r="U47" i="97"/>
  <c r="U26" i="97"/>
  <c r="U43" i="97"/>
  <c r="U39" i="97"/>
  <c r="U35" i="97"/>
  <c r="U24" i="97"/>
  <c r="U27" i="97"/>
  <c r="U37" i="97"/>
  <c r="U38" i="97"/>
  <c r="U34" i="97"/>
  <c r="U52" i="97"/>
  <c r="U19" i="97"/>
  <c r="U17" i="97"/>
  <c r="U21" i="97"/>
  <c r="U29" i="97"/>
  <c r="U33" i="97"/>
  <c r="U40" i="97"/>
  <c r="U49" i="97"/>
  <c r="U31" i="97"/>
  <c r="U41" i="97"/>
  <c r="U32" i="97"/>
  <c r="U20" i="97"/>
  <c r="U18" i="97"/>
  <c r="U25" i="97"/>
  <c r="U30" i="97"/>
  <c r="U80" i="97"/>
  <c r="U76" i="97"/>
  <c r="U48" i="97"/>
  <c r="U44" i="97"/>
  <c r="U36" i="97"/>
  <c r="U78" i="97"/>
  <c r="U74" i="97"/>
  <c r="U50" i="97"/>
  <c r="U46" i="97"/>
  <c r="U72" i="97"/>
  <c r="U68" i="97"/>
  <c r="U64" i="97"/>
  <c r="U60" i="97"/>
  <c r="U56" i="97"/>
  <c r="U70" i="97"/>
  <c r="U66" i="97"/>
  <c r="U62" i="97"/>
  <c r="U58" i="97"/>
  <c r="U54" i="97"/>
  <c r="U28" i="97"/>
  <c r="U16" i="97"/>
  <c r="U15" i="97"/>
  <c r="U10" i="97"/>
  <c r="U11" i="97"/>
  <c r="U12" i="97"/>
  <c r="D19" i="117"/>
  <c r="T147" i="92" l="1"/>
  <c r="U147" i="92"/>
  <c r="U134" i="92"/>
  <c r="O136" i="92"/>
  <c r="O139" i="92" s="1"/>
  <c r="H139" i="92" s="1"/>
  <c r="T134" i="92"/>
  <c r="R134" i="92"/>
  <c r="S134" i="92" s="1"/>
  <c r="T157" i="92"/>
  <c r="R157" i="92"/>
  <c r="S157" i="92" s="1"/>
  <c r="Q157" i="92"/>
  <c r="U157" i="92"/>
  <c r="V152" i="92"/>
  <c r="W152" i="92" s="1"/>
  <c r="S162" i="92"/>
  <c r="V162" i="92" s="1"/>
  <c r="V150" i="92"/>
  <c r="W150" i="92" s="1"/>
  <c r="V155" i="92"/>
  <c r="W155" i="92" s="1"/>
  <c r="V160" i="92"/>
  <c r="W160" i="92" s="1"/>
  <c r="V159" i="92"/>
  <c r="W159" i="92" s="1"/>
  <c r="V164" i="92"/>
  <c r="W164" i="92" s="1"/>
  <c r="V166" i="92"/>
  <c r="W166" i="92" s="1"/>
  <c r="P136" i="92"/>
  <c r="V149" i="92"/>
  <c r="W149" i="92" s="1"/>
  <c r="V153" i="92"/>
  <c r="W153" i="92" s="1"/>
  <c r="X153" i="92" s="1"/>
  <c r="V130" i="92"/>
  <c r="V131" i="92"/>
  <c r="W131" i="92" s="1"/>
  <c r="V165" i="92"/>
  <c r="W165" i="92" s="1"/>
  <c r="V151" i="92"/>
  <c r="W151" i="92" s="1"/>
  <c r="O169" i="92"/>
  <c r="R145" i="92"/>
  <c r="V146" i="92"/>
  <c r="W146" i="92" s="1"/>
  <c r="V163" i="92"/>
  <c r="W163" i="92" s="1"/>
  <c r="X163" i="92" s="1"/>
  <c r="U201" i="92"/>
  <c r="V501" i="97" s="1"/>
  <c r="W501" i="97" s="1"/>
  <c r="V158" i="92"/>
  <c r="W158" i="92" s="1"/>
  <c r="V147" i="92"/>
  <c r="W147" i="92" s="1"/>
  <c r="V167" i="92"/>
  <c r="W167" i="92" s="1"/>
  <c r="V156" i="92"/>
  <c r="W156" i="92" s="1"/>
  <c r="V133" i="92"/>
  <c r="W133" i="92" s="1"/>
  <c r="V168" i="92"/>
  <c r="W168" i="92" s="1"/>
  <c r="V148" i="92"/>
  <c r="W148" i="92" s="1"/>
  <c r="V161" i="92"/>
  <c r="W161" i="92" s="1"/>
  <c r="V132" i="92"/>
  <c r="W132" i="92" s="1"/>
  <c r="V134" i="92"/>
  <c r="W134" i="92" s="1"/>
  <c r="V200" i="92"/>
  <c r="W200" i="92" s="1"/>
  <c r="R201" i="92"/>
  <c r="S199" i="92"/>
  <c r="S201" i="92" s="1"/>
  <c r="V499" i="97" s="1"/>
  <c r="W499" i="97" s="1"/>
  <c r="Q201" i="92"/>
  <c r="V497" i="97" s="1"/>
  <c r="W497" i="97" s="1"/>
  <c r="U145" i="92"/>
  <c r="U169" i="92" s="1"/>
  <c r="T145" i="92"/>
  <c r="T169" i="92" s="1"/>
  <c r="T135" i="92"/>
  <c r="T136" i="92" s="1"/>
  <c r="S135" i="92"/>
  <c r="U135" i="92"/>
  <c r="U136" i="92" s="1"/>
  <c r="D35" i="117"/>
  <c r="D34" i="117"/>
  <c r="D31" i="117"/>
  <c r="D30" i="117"/>
  <c r="D28" i="117"/>
  <c r="D26" i="117"/>
  <c r="D33" i="117" s="1"/>
  <c r="D22" i="117"/>
  <c r="D29" i="117" s="1"/>
  <c r="D25" i="117"/>
  <c r="D32" i="117" s="1"/>
  <c r="D18" i="117"/>
  <c r="D24" i="117" s="1"/>
  <c r="D17" i="117"/>
  <c r="D23" i="117" s="1"/>
  <c r="C15" i="117"/>
  <c r="C8" i="117"/>
  <c r="C18" i="117"/>
  <c r="C17" i="117"/>
  <c r="G39" i="23"/>
  <c r="G24" i="23"/>
  <c r="G25" i="23"/>
  <c r="G26" i="23"/>
  <c r="G27" i="23"/>
  <c r="G31" i="23"/>
  <c r="G33" i="23"/>
  <c r="G34" i="23"/>
  <c r="O36" i="119"/>
  <c r="N30" i="119"/>
  <c r="O30" i="119" s="1"/>
  <c r="N29" i="119"/>
  <c r="O29" i="119" s="1"/>
  <c r="N37" i="52"/>
  <c r="M16" i="52"/>
  <c r="N16" i="52" s="1"/>
  <c r="V157" i="92" l="1"/>
  <c r="W157" i="92" s="1"/>
  <c r="Q169" i="92"/>
  <c r="X151" i="92"/>
  <c r="W162" i="92"/>
  <c r="X161" i="92" s="1"/>
  <c r="X159" i="92"/>
  <c r="X147" i="92"/>
  <c r="X165" i="92"/>
  <c r="W130" i="92"/>
  <c r="X130" i="92" s="1"/>
  <c r="V498" i="97"/>
  <c r="X167" i="92"/>
  <c r="X132" i="92"/>
  <c r="X155" i="92"/>
  <c r="X157" i="92"/>
  <c r="X149" i="92"/>
  <c r="V135" i="92"/>
  <c r="V136" i="92" s="1"/>
  <c r="R136" i="92"/>
  <c r="V199" i="92"/>
  <c r="S145" i="92"/>
  <c r="S169" i="92" s="1"/>
  <c r="R169" i="92"/>
  <c r="Q136" i="92"/>
  <c r="S136" i="92"/>
  <c r="C14" i="117"/>
  <c r="Z119" i="92"/>
  <c r="Y119" i="92"/>
  <c r="Y117" i="92"/>
  <c r="Y113" i="92"/>
  <c r="Y109" i="92"/>
  <c r="Y101" i="92"/>
  <c r="Y99" i="92"/>
  <c r="Y95" i="92"/>
  <c r="Y93" i="92"/>
  <c r="Y87" i="92"/>
  <c r="Y85" i="92"/>
  <c r="Y63" i="92"/>
  <c r="Y62" i="92"/>
  <c r="Y61" i="92"/>
  <c r="W498" i="97" l="1"/>
  <c r="W135" i="92"/>
  <c r="X134" i="92" s="1"/>
  <c r="X136" i="92"/>
  <c r="V201" i="92"/>
  <c r="W199" i="92"/>
  <c r="V145" i="92"/>
  <c r="M35" i="119"/>
  <c r="N35" i="119" s="1"/>
  <c r="E21" i="119"/>
  <c r="F21" i="119" s="1"/>
  <c r="G21" i="119" s="1"/>
  <c r="D17" i="119"/>
  <c r="F15" i="119"/>
  <c r="F14" i="119" s="1"/>
  <c r="E14" i="119"/>
  <c r="E13" i="119" s="1"/>
  <c r="E12" i="119"/>
  <c r="F12" i="119" s="1"/>
  <c r="E9" i="119"/>
  <c r="E8" i="119" s="1"/>
  <c r="E7" i="119" s="1"/>
  <c r="L6" i="119"/>
  <c r="D6" i="119"/>
  <c r="M4" i="119"/>
  <c r="L4" i="119"/>
  <c r="L36" i="52"/>
  <c r="M36" i="52" s="1"/>
  <c r="E22" i="52"/>
  <c r="E10" i="52"/>
  <c r="C21" i="117"/>
  <c r="E12" i="117"/>
  <c r="E11" i="119" l="1"/>
  <c r="E10" i="119" s="1"/>
  <c r="W201" i="92"/>
  <c r="X199" i="92"/>
  <c r="X201" i="92" s="1"/>
  <c r="V169" i="92"/>
  <c r="W145" i="92"/>
  <c r="W136" i="92"/>
  <c r="E29" i="23" s="1"/>
  <c r="F13" i="119"/>
  <c r="F9" i="119"/>
  <c r="F11" i="119"/>
  <c r="Y137" i="92" l="1"/>
  <c r="X145" i="92"/>
  <c r="X169" i="92" s="1"/>
  <c r="W169" i="92"/>
  <c r="G9" i="119"/>
  <c r="F8" i="119"/>
  <c r="F10" i="119"/>
  <c r="AD169" i="92" l="1"/>
  <c r="X170" i="92"/>
  <c r="G8" i="119"/>
  <c r="F7" i="119"/>
  <c r="G7" i="119" s="1"/>
  <c r="C32" i="117" l="1"/>
  <c r="C29" i="117"/>
  <c r="C28" i="117"/>
  <c r="E13" i="117"/>
  <c r="E54" i="23"/>
  <c r="E48" i="119" s="1"/>
  <c r="E55" i="23"/>
  <c r="E37" i="23"/>
  <c r="D37" i="23"/>
  <c r="D38" i="23"/>
  <c r="E38" i="23"/>
  <c r="D29" i="23"/>
  <c r="F29" i="23" s="1"/>
  <c r="G29" i="23" s="1"/>
  <c r="E27" i="23"/>
  <c r="E22" i="23" s="1"/>
  <c r="D18" i="23"/>
  <c r="D17" i="23" s="1"/>
  <c r="D16" i="23" s="1"/>
  <c r="E25" i="23"/>
  <c r="J539" i="97"/>
  <c r="J546" i="97"/>
  <c r="J554" i="97"/>
  <c r="J557" i="97"/>
  <c r="J522" i="97"/>
  <c r="J515" i="97"/>
  <c r="J514" i="97" s="1"/>
  <c r="E22" i="117" s="1"/>
  <c r="J502" i="97"/>
  <c r="K514" i="97"/>
  <c r="E29" i="117" s="1"/>
  <c r="K658" i="97"/>
  <c r="E35" i="117" s="1"/>
  <c r="K612" i="97"/>
  <c r="H554" i="97"/>
  <c r="W7" i="97"/>
  <c r="K654" i="97"/>
  <c r="H650" i="97"/>
  <c r="E650" i="97" s="1"/>
  <c r="K646" i="97"/>
  <c r="H646" i="97"/>
  <c r="H643" i="97"/>
  <c r="E643" i="97" s="1"/>
  <c r="J635" i="97"/>
  <c r="K616" i="97"/>
  <c r="J616" i="97"/>
  <c r="I616" i="97"/>
  <c r="H616" i="97"/>
  <c r="J612" i="97"/>
  <c r="I612" i="97"/>
  <c r="K605" i="97"/>
  <c r="J605" i="97"/>
  <c r="H605" i="97"/>
  <c r="J610" i="97"/>
  <c r="E610" i="97" s="1"/>
  <c r="K599" i="97"/>
  <c r="J599" i="97"/>
  <c r="I599" i="97"/>
  <c r="K667" i="97"/>
  <c r="K666" i="97" s="1"/>
  <c r="K664" i="97" s="1"/>
  <c r="I667" i="97"/>
  <c r="I666" i="97" s="1"/>
  <c r="J667" i="97"/>
  <c r="J666" i="97" s="1"/>
  <c r="I663" i="97"/>
  <c r="I662" i="97" s="1"/>
  <c r="J663" i="97"/>
  <c r="J662" i="97" s="1"/>
  <c r="H663" i="97"/>
  <c r="J657" i="97"/>
  <c r="H657" i="97"/>
  <c r="J653" i="97"/>
  <c r="H653" i="97"/>
  <c r="H580" i="97"/>
  <c r="I580" i="97"/>
  <c r="J580" i="97"/>
  <c r="K580" i="97"/>
  <c r="K564" i="97"/>
  <c r="J564" i="97"/>
  <c r="I564" i="97"/>
  <c r="H564" i="97"/>
  <c r="J563" i="97"/>
  <c r="I563" i="97"/>
  <c r="K557" i="97"/>
  <c r="K554" i="97"/>
  <c r="K546" i="97"/>
  <c r="I546" i="97"/>
  <c r="K539" i="97"/>
  <c r="I539" i="97"/>
  <c r="H546" i="97"/>
  <c r="H539" i="97"/>
  <c r="H522" i="97"/>
  <c r="E522" i="97" s="1"/>
  <c r="V522" i="97" s="1"/>
  <c r="K520" i="97"/>
  <c r="E520" i="97" s="1"/>
  <c r="H514" i="97"/>
  <c r="E7" i="117" s="1"/>
  <c r="I514" i="97"/>
  <c r="E16" i="117" s="1"/>
  <c r="K502" i="97"/>
  <c r="K482" i="97"/>
  <c r="F26" i="115"/>
  <c r="G97" i="114"/>
  <c r="H97" i="114" s="1"/>
  <c r="G96" i="114"/>
  <c r="H96" i="114" s="1"/>
  <c r="F96" i="114"/>
  <c r="U95" i="114"/>
  <c r="G95" i="114"/>
  <c r="H95" i="114" s="1"/>
  <c r="F94" i="114"/>
  <c r="G94" i="114" s="1"/>
  <c r="H94" i="114" s="1"/>
  <c r="F93" i="114"/>
  <c r="G93" i="114" s="1"/>
  <c r="H93" i="114" s="1"/>
  <c r="F92" i="114"/>
  <c r="G92" i="114" s="1"/>
  <c r="H92" i="114" s="1"/>
  <c r="G91" i="114"/>
  <c r="H91" i="114" s="1"/>
  <c r="F90" i="114"/>
  <c r="G90" i="114" s="1"/>
  <c r="H90" i="114" s="1"/>
  <c r="U89" i="114"/>
  <c r="F89" i="114"/>
  <c r="G89" i="114" s="1"/>
  <c r="H89" i="114" s="1"/>
  <c r="H88" i="114"/>
  <c r="G88" i="114"/>
  <c r="F87" i="114"/>
  <c r="G87" i="114" s="1"/>
  <c r="H87" i="114" s="1"/>
  <c r="G86" i="114"/>
  <c r="H86" i="114" s="1"/>
  <c r="T85" i="114"/>
  <c r="H85" i="114"/>
  <c r="G85" i="114"/>
  <c r="F85" i="114"/>
  <c r="T84" i="114"/>
  <c r="H84" i="114"/>
  <c r="G84" i="114"/>
  <c r="F83" i="114"/>
  <c r="G83" i="114" s="1"/>
  <c r="H83" i="114" s="1"/>
  <c r="G82" i="114"/>
  <c r="H82" i="114" s="1"/>
  <c r="G81" i="114"/>
  <c r="H81" i="114" s="1"/>
  <c r="G80" i="114"/>
  <c r="H80" i="114" s="1"/>
  <c r="G79" i="114"/>
  <c r="H79" i="114" s="1"/>
  <c r="G78" i="114"/>
  <c r="H78" i="114" s="1"/>
  <c r="G77" i="114"/>
  <c r="H77" i="114" s="1"/>
  <c r="F76" i="114"/>
  <c r="G76" i="114" s="1"/>
  <c r="H76" i="114" s="1"/>
  <c r="H75" i="114"/>
  <c r="G75" i="114"/>
  <c r="G74" i="114"/>
  <c r="H74" i="114" s="1"/>
  <c r="H73" i="114"/>
  <c r="G73" i="114"/>
  <c r="G72" i="114"/>
  <c r="H72" i="114" s="1"/>
  <c r="H71" i="114"/>
  <c r="G71" i="114"/>
  <c r="G70" i="114"/>
  <c r="H70" i="114" s="1"/>
  <c r="H69" i="114"/>
  <c r="G69" i="114"/>
  <c r="G68" i="114"/>
  <c r="H68" i="114" s="1"/>
  <c r="H67" i="114"/>
  <c r="G67" i="114"/>
  <c r="G66" i="114"/>
  <c r="H66" i="114" s="1"/>
  <c r="F65" i="114"/>
  <c r="G65" i="114" s="1"/>
  <c r="H65" i="114" s="1"/>
  <c r="G64" i="114"/>
  <c r="H64" i="114" s="1"/>
  <c r="G63" i="114"/>
  <c r="H63" i="114" s="1"/>
  <c r="G62" i="114"/>
  <c r="H62" i="114" s="1"/>
  <c r="G61" i="114"/>
  <c r="H61" i="114" s="1"/>
  <c r="G60" i="114"/>
  <c r="H60" i="114" s="1"/>
  <c r="G59" i="114"/>
  <c r="H59" i="114" s="1"/>
  <c r="G58" i="114"/>
  <c r="H58" i="114" s="1"/>
  <c r="G57" i="114"/>
  <c r="H57" i="114" s="1"/>
  <c r="G56" i="114"/>
  <c r="H56" i="114" s="1"/>
  <c r="F55" i="114"/>
  <c r="G55" i="114" s="1"/>
  <c r="H55" i="114" s="1"/>
  <c r="H54" i="114"/>
  <c r="G54" i="114"/>
  <c r="F53" i="114"/>
  <c r="F52" i="114" s="1"/>
  <c r="T51" i="114"/>
  <c r="G51" i="114"/>
  <c r="H51" i="114" s="1"/>
  <c r="U50" i="114"/>
  <c r="G50" i="114"/>
  <c r="H50" i="114" s="1"/>
  <c r="U49" i="114"/>
  <c r="G49" i="114"/>
  <c r="F48" i="114"/>
  <c r="G48" i="114" s="1"/>
  <c r="H48" i="114" s="1"/>
  <c r="U46" i="114"/>
  <c r="H46" i="114"/>
  <c r="G46" i="114"/>
  <c r="T45" i="114"/>
  <c r="G45" i="114"/>
  <c r="H45" i="114" s="1"/>
  <c r="T44" i="114"/>
  <c r="G44" i="114"/>
  <c r="H44" i="114" s="1"/>
  <c r="T43" i="114"/>
  <c r="G43" i="114"/>
  <c r="H43" i="114" s="1"/>
  <c r="G42" i="114"/>
  <c r="H42" i="114" s="1"/>
  <c r="F41" i="114"/>
  <c r="G41" i="114" s="1"/>
  <c r="H41" i="114" s="1"/>
  <c r="U40" i="114"/>
  <c r="F40" i="114"/>
  <c r="G40" i="114" s="1"/>
  <c r="H40" i="114" s="1"/>
  <c r="U39" i="114"/>
  <c r="U6" i="114" s="1"/>
  <c r="G39" i="114"/>
  <c r="H39" i="114" s="1"/>
  <c r="G38" i="114"/>
  <c r="H38" i="114" s="1"/>
  <c r="F38" i="114"/>
  <c r="G37" i="114"/>
  <c r="H37" i="114" s="1"/>
  <c r="H36" i="114"/>
  <c r="G36" i="114"/>
  <c r="G35" i="114"/>
  <c r="H35" i="114" s="1"/>
  <c r="H34" i="114"/>
  <c r="G34" i="114"/>
  <c r="G33" i="114"/>
  <c r="H33" i="114" s="1"/>
  <c r="F33" i="114"/>
  <c r="U33" i="114" s="1"/>
  <c r="G32" i="114"/>
  <c r="H32" i="114" s="1"/>
  <c r="T31" i="114"/>
  <c r="F31" i="114" s="1"/>
  <c r="G31" i="114" s="1"/>
  <c r="H31" i="114" s="1"/>
  <c r="S31" i="114"/>
  <c r="T30" i="114"/>
  <c r="S30" i="114"/>
  <c r="G30" i="114"/>
  <c r="H30" i="114" s="1"/>
  <c r="F30" i="114"/>
  <c r="S29" i="114"/>
  <c r="F29" i="114"/>
  <c r="G29" i="114" s="1"/>
  <c r="H29" i="114" s="1"/>
  <c r="S28" i="114"/>
  <c r="G26" i="114"/>
  <c r="H26" i="114" s="1"/>
  <c r="F26" i="114"/>
  <c r="H25" i="114"/>
  <c r="G25" i="114"/>
  <c r="H24" i="114"/>
  <c r="G24" i="114"/>
  <c r="F23" i="114"/>
  <c r="G23" i="114" s="1"/>
  <c r="H23" i="114" s="1"/>
  <c r="H22" i="114"/>
  <c r="G22" i="114"/>
  <c r="F21" i="114"/>
  <c r="G21" i="114" s="1"/>
  <c r="H21" i="114" s="1"/>
  <c r="F20" i="114"/>
  <c r="G20" i="114" s="1"/>
  <c r="H20" i="114" s="1"/>
  <c r="F19" i="114"/>
  <c r="G19" i="114" s="1"/>
  <c r="H19" i="114" s="1"/>
  <c r="H18" i="114"/>
  <c r="G18" i="114"/>
  <c r="F17" i="114"/>
  <c r="G17" i="114" s="1"/>
  <c r="H17" i="114" s="1"/>
  <c r="H16" i="114"/>
  <c r="G16" i="114"/>
  <c r="F15" i="114"/>
  <c r="G15" i="114" s="1"/>
  <c r="H15" i="114" s="1"/>
  <c r="F14" i="114"/>
  <c r="G14" i="114" s="1"/>
  <c r="H14" i="114" s="1"/>
  <c r="F13" i="114"/>
  <c r="G13" i="114" s="1"/>
  <c r="H13" i="114" s="1"/>
  <c r="H11" i="114"/>
  <c r="G11" i="114"/>
  <c r="F10" i="114"/>
  <c r="G10" i="114" s="1"/>
  <c r="H10" i="114" s="1"/>
  <c r="G9" i="114"/>
  <c r="H9" i="114" s="1"/>
  <c r="X8" i="114"/>
  <c r="V7" i="114"/>
  <c r="F4" i="114"/>
  <c r="E4" i="114"/>
  <c r="G92" i="115"/>
  <c r="G91" i="115"/>
  <c r="F91" i="115"/>
  <c r="F90" i="115"/>
  <c r="G90" i="115" s="1"/>
  <c r="G89" i="115"/>
  <c r="G88" i="115"/>
  <c r="F88" i="115"/>
  <c r="F87" i="115"/>
  <c r="G87" i="115" s="1"/>
  <c r="G86" i="115"/>
  <c r="F85" i="115"/>
  <c r="F84" i="115" s="1"/>
  <c r="G84" i="115" s="1"/>
  <c r="G83" i="115"/>
  <c r="F82" i="115"/>
  <c r="G82" i="115" s="1"/>
  <c r="G81" i="115"/>
  <c r="F80" i="115"/>
  <c r="F73" i="115" s="1"/>
  <c r="G73" i="115" s="1"/>
  <c r="H73" i="115" s="1"/>
  <c r="G79" i="115"/>
  <c r="G78" i="115"/>
  <c r="G77" i="115"/>
  <c r="G76" i="115"/>
  <c r="G75" i="115"/>
  <c r="G74" i="115"/>
  <c r="G72" i="115"/>
  <c r="H72" i="115" s="1"/>
  <c r="H71" i="115"/>
  <c r="G71" i="115"/>
  <c r="G70" i="115"/>
  <c r="H70" i="115" s="1"/>
  <c r="H69" i="115"/>
  <c r="G69" i="115"/>
  <c r="G68" i="115"/>
  <c r="H68" i="115" s="1"/>
  <c r="H67" i="115"/>
  <c r="G67" i="115"/>
  <c r="G66" i="115"/>
  <c r="H66" i="115" s="1"/>
  <c r="H65" i="115"/>
  <c r="G65" i="115"/>
  <c r="G64" i="115"/>
  <c r="H64" i="115" s="1"/>
  <c r="H63" i="115"/>
  <c r="G63" i="115"/>
  <c r="F62" i="115"/>
  <c r="G62" i="115" s="1"/>
  <c r="H62" i="115" s="1"/>
  <c r="G61" i="115"/>
  <c r="H61" i="115" s="1"/>
  <c r="G60" i="115"/>
  <c r="H60" i="115" s="1"/>
  <c r="G59" i="115"/>
  <c r="H59" i="115" s="1"/>
  <c r="G58" i="115"/>
  <c r="H58" i="115" s="1"/>
  <c r="S57" i="115"/>
  <c r="G57" i="115"/>
  <c r="H57" i="115" s="1"/>
  <c r="S56" i="115"/>
  <c r="G56" i="115"/>
  <c r="H56" i="115" s="1"/>
  <c r="S55" i="115"/>
  <c r="H55" i="115"/>
  <c r="G55" i="115"/>
  <c r="F54" i="115"/>
  <c r="F51" i="115" s="1"/>
  <c r="S53" i="115"/>
  <c r="G53" i="115"/>
  <c r="H53" i="115" s="1"/>
  <c r="G52" i="115"/>
  <c r="H52" i="115" s="1"/>
  <c r="G49" i="115"/>
  <c r="U49" i="115" s="1"/>
  <c r="T48" i="115"/>
  <c r="G48" i="115"/>
  <c r="H48" i="115" s="1"/>
  <c r="H47" i="115"/>
  <c r="G47" i="115"/>
  <c r="F46" i="115"/>
  <c r="G46" i="115" s="1"/>
  <c r="H46" i="115" s="1"/>
  <c r="T44" i="115"/>
  <c r="G44" i="115"/>
  <c r="H44" i="115" s="1"/>
  <c r="T43" i="115"/>
  <c r="H43" i="115"/>
  <c r="G43" i="115"/>
  <c r="S42" i="115"/>
  <c r="G42" i="115"/>
  <c r="H42" i="115" s="1"/>
  <c r="S41" i="115"/>
  <c r="U41" i="115" s="1"/>
  <c r="G41" i="115"/>
  <c r="H41" i="115" s="1"/>
  <c r="T40" i="115"/>
  <c r="U40" i="115" s="1"/>
  <c r="U8" i="115" s="1"/>
  <c r="G40" i="115"/>
  <c r="H40" i="115" s="1"/>
  <c r="G39" i="115"/>
  <c r="F38" i="115"/>
  <c r="G38" i="115" s="1"/>
  <c r="H38" i="115" s="1"/>
  <c r="G37" i="115"/>
  <c r="H37" i="115" s="1"/>
  <c r="G36" i="115"/>
  <c r="H36" i="115" s="1"/>
  <c r="G35" i="115"/>
  <c r="H35" i="115" s="1"/>
  <c r="G34" i="115"/>
  <c r="H34" i="115" s="1"/>
  <c r="F33" i="115"/>
  <c r="G33" i="115" s="1"/>
  <c r="H33" i="115" s="1"/>
  <c r="T32" i="115"/>
  <c r="G32" i="115"/>
  <c r="H32" i="115" s="1"/>
  <c r="F31" i="115"/>
  <c r="G31" i="115" s="1"/>
  <c r="H31" i="115" s="1"/>
  <c r="F30" i="115"/>
  <c r="H29" i="115"/>
  <c r="G29" i="115"/>
  <c r="F28" i="115"/>
  <c r="G28" i="115" s="1"/>
  <c r="H28" i="115" s="1"/>
  <c r="G25" i="115"/>
  <c r="H25" i="115" s="1"/>
  <c r="H24" i="115"/>
  <c r="G24" i="115"/>
  <c r="G23" i="115"/>
  <c r="H23" i="115" s="1"/>
  <c r="H22" i="115"/>
  <c r="G22" i="115"/>
  <c r="H20" i="115"/>
  <c r="G20" i="115"/>
  <c r="G19" i="115"/>
  <c r="H19" i="115" s="1"/>
  <c r="H18" i="115"/>
  <c r="G18" i="115"/>
  <c r="G17" i="115"/>
  <c r="H17" i="115" s="1"/>
  <c r="H16" i="115"/>
  <c r="G16" i="115"/>
  <c r="G15" i="115"/>
  <c r="H15" i="115" s="1"/>
  <c r="H14" i="115"/>
  <c r="G14" i="115"/>
  <c r="G13" i="115"/>
  <c r="H13" i="115" s="1"/>
  <c r="H11" i="115"/>
  <c r="G11" i="115"/>
  <c r="G10" i="115"/>
  <c r="H10" i="115" s="1"/>
  <c r="H9" i="115"/>
  <c r="G9" i="115"/>
  <c r="W8" i="115"/>
  <c r="U6" i="115"/>
  <c r="W6" i="115" s="1"/>
  <c r="X6" i="115" s="1"/>
  <c r="S6" i="115"/>
  <c r="W5" i="115"/>
  <c r="V52" i="115" s="1"/>
  <c r="S52" i="115" s="1"/>
  <c r="S8" i="115" s="1"/>
  <c r="S5" i="115"/>
  <c r="U4" i="115"/>
  <c r="F4" i="115"/>
  <c r="E4" i="115"/>
  <c r="U3" i="115"/>
  <c r="W3" i="115" s="1"/>
  <c r="U2" i="115"/>
  <c r="W2" i="115" s="1"/>
  <c r="V1" i="115"/>
  <c r="F39" i="113"/>
  <c r="G39" i="113" s="1"/>
  <c r="H39" i="113" s="1"/>
  <c r="G36" i="113"/>
  <c r="H36" i="113" s="1"/>
  <c r="F35" i="113"/>
  <c r="G35" i="113" s="1"/>
  <c r="H35" i="113" s="1"/>
  <c r="G33" i="113"/>
  <c r="H33" i="113" s="1"/>
  <c r="G32" i="113"/>
  <c r="F31" i="113"/>
  <c r="G31" i="113" s="1"/>
  <c r="F30" i="113"/>
  <c r="G30" i="113" s="1"/>
  <c r="F29" i="113"/>
  <c r="G29" i="113" s="1"/>
  <c r="F28" i="113"/>
  <c r="G28" i="113" s="1"/>
  <c r="F27" i="113"/>
  <c r="G27" i="113" s="1"/>
  <c r="F26" i="113"/>
  <c r="G24" i="113"/>
  <c r="H24" i="113" s="1"/>
  <c r="G23" i="113"/>
  <c r="H23" i="113" s="1"/>
  <c r="G22" i="113"/>
  <c r="H22" i="113" s="1"/>
  <c r="F21" i="113"/>
  <c r="G21" i="113" s="1"/>
  <c r="F19" i="113"/>
  <c r="G19" i="113" s="1"/>
  <c r="H19" i="113" s="1"/>
  <c r="F18" i="113"/>
  <c r="G18" i="113" s="1"/>
  <c r="H18" i="113" s="1"/>
  <c r="F17" i="113"/>
  <c r="G17" i="113" s="1"/>
  <c r="H17" i="113" s="1"/>
  <c r="F16" i="113"/>
  <c r="G16" i="113" s="1"/>
  <c r="H16" i="113" s="1"/>
  <c r="F14" i="113"/>
  <c r="G14" i="113" s="1"/>
  <c r="H14" i="113" s="1"/>
  <c r="F13" i="113"/>
  <c r="G13" i="113" s="1"/>
  <c r="H13" i="113" s="1"/>
  <c r="F12" i="113"/>
  <c r="G12" i="113" s="1"/>
  <c r="H12" i="113" s="1"/>
  <c r="F11" i="113"/>
  <c r="G11" i="113" s="1"/>
  <c r="H11" i="113" s="1"/>
  <c r="F10" i="113"/>
  <c r="G10" i="113" s="1"/>
  <c r="H10" i="113" s="1"/>
  <c r="F8" i="113"/>
  <c r="G8" i="113" s="1"/>
  <c r="H8" i="113" s="1"/>
  <c r="F4" i="113"/>
  <c r="E4" i="113"/>
  <c r="F61" i="112"/>
  <c r="G61" i="112" s="1"/>
  <c r="H61" i="112" s="1"/>
  <c r="G58" i="112"/>
  <c r="H58" i="112" s="1"/>
  <c r="F57" i="112"/>
  <c r="G57" i="112" s="1"/>
  <c r="H57" i="112" s="1"/>
  <c r="G55" i="112"/>
  <c r="G53" i="112"/>
  <c r="F52" i="112"/>
  <c r="G52" i="112" s="1"/>
  <c r="H52" i="112" s="1"/>
  <c r="G51" i="112"/>
  <c r="H51" i="112" s="1"/>
  <c r="F51" i="112"/>
  <c r="F50" i="112"/>
  <c r="G50" i="112" s="1"/>
  <c r="H50" i="112" s="1"/>
  <c r="G49" i="112"/>
  <c r="H49" i="112" s="1"/>
  <c r="G48" i="112"/>
  <c r="H48" i="112" s="1"/>
  <c r="F47" i="112"/>
  <c r="G47" i="112" s="1"/>
  <c r="H47" i="112" s="1"/>
  <c r="F46" i="112"/>
  <c r="G46" i="112" s="1"/>
  <c r="H46" i="112" s="1"/>
  <c r="F45" i="112"/>
  <c r="G45" i="112" s="1"/>
  <c r="H45" i="112" s="1"/>
  <c r="F44" i="112"/>
  <c r="G40" i="112"/>
  <c r="H40" i="112" s="1"/>
  <c r="H39" i="112"/>
  <c r="G39" i="112"/>
  <c r="G38" i="112"/>
  <c r="H38" i="112" s="1"/>
  <c r="F37" i="112"/>
  <c r="G37" i="112" s="1"/>
  <c r="H37" i="112" s="1"/>
  <c r="G35" i="112"/>
  <c r="H35" i="112" s="1"/>
  <c r="H34" i="112"/>
  <c r="G34" i="112"/>
  <c r="G33" i="112"/>
  <c r="H33" i="112" s="1"/>
  <c r="H32" i="112"/>
  <c r="G32" i="112"/>
  <c r="U31" i="112"/>
  <c r="G31" i="112"/>
  <c r="H31" i="112" s="1"/>
  <c r="F30" i="112"/>
  <c r="G30" i="112" s="1"/>
  <c r="H30" i="112" s="1"/>
  <c r="H29" i="112"/>
  <c r="G29" i="112"/>
  <c r="F28" i="112"/>
  <c r="G27" i="112"/>
  <c r="H27" i="112" s="1"/>
  <c r="G25" i="112"/>
  <c r="H25" i="112" s="1"/>
  <c r="H24" i="112"/>
  <c r="G24" i="112"/>
  <c r="G23" i="112"/>
  <c r="H23" i="112" s="1"/>
  <c r="F22" i="112"/>
  <c r="G22" i="112" s="1"/>
  <c r="H22" i="112" s="1"/>
  <c r="W21" i="112"/>
  <c r="H21" i="112"/>
  <c r="G21" i="112"/>
  <c r="T20" i="112"/>
  <c r="U20" i="112" s="1"/>
  <c r="F20" i="112"/>
  <c r="G20" i="112" s="1"/>
  <c r="H20" i="112" s="1"/>
  <c r="T19" i="112"/>
  <c r="U19" i="112" s="1"/>
  <c r="F19" i="112"/>
  <c r="G19" i="112" s="1"/>
  <c r="H19" i="112" s="1"/>
  <c r="T18" i="112"/>
  <c r="U18" i="112" s="1"/>
  <c r="F18" i="112"/>
  <c r="G18" i="112" s="1"/>
  <c r="H18" i="112" s="1"/>
  <c r="Z17" i="112"/>
  <c r="T17" i="112"/>
  <c r="U17" i="112" s="1"/>
  <c r="V17" i="112" s="1"/>
  <c r="W17" i="112" s="1"/>
  <c r="F17" i="112"/>
  <c r="G17" i="112" s="1"/>
  <c r="H17" i="112" s="1"/>
  <c r="Z16" i="112"/>
  <c r="F15" i="112"/>
  <c r="G15" i="112" s="1"/>
  <c r="H15" i="112" s="1"/>
  <c r="T14" i="112"/>
  <c r="H14" i="112"/>
  <c r="F13" i="112"/>
  <c r="G13" i="112" s="1"/>
  <c r="H13" i="112" s="1"/>
  <c r="F12" i="112"/>
  <c r="G12" i="112" s="1"/>
  <c r="H12" i="112" s="1"/>
  <c r="F11" i="112"/>
  <c r="F9" i="112"/>
  <c r="G9" i="112" s="1"/>
  <c r="H9" i="112" s="1"/>
  <c r="U6" i="112"/>
  <c r="V6" i="112" s="1"/>
  <c r="T6" i="112"/>
  <c r="F4" i="112"/>
  <c r="E4" i="112"/>
  <c r="G31" i="111"/>
  <c r="F30" i="111"/>
  <c r="G30" i="111" s="1"/>
  <c r="G29" i="111"/>
  <c r="H26" i="111"/>
  <c r="G26" i="111"/>
  <c r="G25" i="111"/>
  <c r="G24" i="111" s="1"/>
  <c r="F24" i="111"/>
  <c r="F23" i="111"/>
  <c r="E23" i="111"/>
  <c r="G22" i="111"/>
  <c r="H22" i="111" s="1"/>
  <c r="F21" i="111"/>
  <c r="G21" i="111" s="1"/>
  <c r="H21" i="111" s="1"/>
  <c r="F20" i="111"/>
  <c r="G20" i="111" s="1"/>
  <c r="H20" i="111" s="1"/>
  <c r="F19" i="111"/>
  <c r="G19" i="111" s="1"/>
  <c r="H19" i="111" s="1"/>
  <c r="F18" i="111"/>
  <c r="G18" i="111" s="1"/>
  <c r="H18" i="111" s="1"/>
  <c r="D18" i="111"/>
  <c r="F17" i="111"/>
  <c r="G17" i="111" s="1"/>
  <c r="H17" i="111" s="1"/>
  <c r="D17" i="111"/>
  <c r="F16" i="111"/>
  <c r="G16" i="111" s="1"/>
  <c r="H16" i="111" s="1"/>
  <c r="D16" i="111"/>
  <c r="F15" i="111"/>
  <c r="K15" i="111" s="1"/>
  <c r="G12" i="111"/>
  <c r="G11" i="111" s="1"/>
  <c r="G10" i="111" s="1"/>
  <c r="F11" i="111"/>
  <c r="F10" i="111"/>
  <c r="G9" i="111"/>
  <c r="F8" i="111"/>
  <c r="G8" i="111" s="1"/>
  <c r="G7" i="111" s="1"/>
  <c r="K7" i="111"/>
  <c r="F4" i="111"/>
  <c r="E4" i="111"/>
  <c r="G40" i="110"/>
  <c r="F39" i="110"/>
  <c r="G39" i="110" s="1"/>
  <c r="H39" i="110" s="1"/>
  <c r="G38" i="110"/>
  <c r="H35" i="110"/>
  <c r="G35" i="110"/>
  <c r="G34" i="110"/>
  <c r="H34" i="110" s="1"/>
  <c r="H33" i="110"/>
  <c r="G33" i="110"/>
  <c r="F33" i="110"/>
  <c r="G32" i="110"/>
  <c r="H32" i="110" s="1"/>
  <c r="F32" i="110"/>
  <c r="G31" i="110"/>
  <c r="H31" i="110" s="1"/>
  <c r="G30" i="110"/>
  <c r="H30" i="110" s="1"/>
  <c r="G29" i="110"/>
  <c r="H29" i="110" s="1"/>
  <c r="G28" i="110"/>
  <c r="H28" i="110" s="1"/>
  <c r="H27" i="110"/>
  <c r="G26" i="110"/>
  <c r="H26" i="110" s="1"/>
  <c r="G25" i="110"/>
  <c r="H25" i="110" s="1"/>
  <c r="F24" i="110"/>
  <c r="G24" i="110" s="1"/>
  <c r="F23" i="110"/>
  <c r="G23" i="110" s="1"/>
  <c r="H23" i="110" s="1"/>
  <c r="D23" i="110"/>
  <c r="F22" i="110"/>
  <c r="G22" i="110" s="1"/>
  <c r="H22" i="110" s="1"/>
  <c r="D22" i="110"/>
  <c r="F21" i="110"/>
  <c r="G21" i="110" s="1"/>
  <c r="H21" i="110" s="1"/>
  <c r="F19" i="110"/>
  <c r="G19" i="110" s="1"/>
  <c r="F18" i="110"/>
  <c r="G18" i="110" s="1"/>
  <c r="H18" i="110" s="1"/>
  <c r="F17" i="110"/>
  <c r="G17" i="110" s="1"/>
  <c r="H17" i="110" s="1"/>
  <c r="F16" i="110"/>
  <c r="G16" i="110" s="1"/>
  <c r="H16" i="110" s="1"/>
  <c r="D16" i="110"/>
  <c r="D21" i="110" s="1"/>
  <c r="G12" i="110"/>
  <c r="G11" i="110" s="1"/>
  <c r="G10" i="110" s="1"/>
  <c r="F11" i="110"/>
  <c r="F10" i="110" s="1"/>
  <c r="G9" i="110"/>
  <c r="F8" i="110"/>
  <c r="F7" i="110" s="1"/>
  <c r="J6" i="110"/>
  <c r="F4" i="110"/>
  <c r="E4" i="110"/>
  <c r="F34" i="109"/>
  <c r="G34" i="109" s="1"/>
  <c r="F33" i="109"/>
  <c r="G33" i="109" s="1"/>
  <c r="F32" i="109"/>
  <c r="G32" i="109" s="1"/>
  <c r="F31" i="109"/>
  <c r="G31" i="109" s="1"/>
  <c r="E31" i="109"/>
  <c r="E30" i="109"/>
  <c r="F29" i="109"/>
  <c r="E28" i="109"/>
  <c r="F28" i="109" s="1"/>
  <c r="F25" i="109"/>
  <c r="F24" i="109" s="1"/>
  <c r="E24" i="109"/>
  <c r="E23" i="109" s="1"/>
  <c r="F22" i="109"/>
  <c r="F21" i="109"/>
  <c r="F20" i="109" s="1"/>
  <c r="F19" i="109" s="1"/>
  <c r="E20" i="109"/>
  <c r="E19" i="109"/>
  <c r="F18" i="109"/>
  <c r="F17" i="109"/>
  <c r="E17" i="109"/>
  <c r="E16" i="109" s="1"/>
  <c r="F16" i="109"/>
  <c r="F15" i="109"/>
  <c r="F14" i="109"/>
  <c r="F13" i="109" s="1"/>
  <c r="E14" i="109"/>
  <c r="E13" i="109" s="1"/>
  <c r="F12" i="109"/>
  <c r="F11" i="109"/>
  <c r="F10" i="109" s="1"/>
  <c r="E11" i="109"/>
  <c r="E10" i="109"/>
  <c r="G9" i="109"/>
  <c r="F9" i="109"/>
  <c r="F8" i="109"/>
  <c r="G8" i="109" s="1"/>
  <c r="E8" i="109"/>
  <c r="E7" i="109" s="1"/>
  <c r="E4" i="109"/>
  <c r="D4" i="109"/>
  <c r="F37" i="108"/>
  <c r="F36" i="108"/>
  <c r="G36" i="108" s="1"/>
  <c r="F35" i="108"/>
  <c r="E34" i="108"/>
  <c r="F34" i="108" s="1"/>
  <c r="G34" i="108" s="1"/>
  <c r="F32" i="108"/>
  <c r="E31" i="108"/>
  <c r="F31" i="108" s="1"/>
  <c r="G31" i="108" s="1"/>
  <c r="F30" i="108"/>
  <c r="G30" i="108" s="1"/>
  <c r="E30" i="108"/>
  <c r="E29" i="108"/>
  <c r="F29" i="108" s="1"/>
  <c r="G29" i="108" s="1"/>
  <c r="F28" i="108"/>
  <c r="E27" i="108"/>
  <c r="E26" i="108" s="1"/>
  <c r="F26" i="108" s="1"/>
  <c r="F25" i="108"/>
  <c r="F24" i="108"/>
  <c r="F23" i="108"/>
  <c r="E23" i="108"/>
  <c r="E22" i="108"/>
  <c r="F22" i="108" s="1"/>
  <c r="G21" i="108"/>
  <c r="F21" i="108"/>
  <c r="F20" i="108"/>
  <c r="G20" i="108" s="1"/>
  <c r="G19" i="108"/>
  <c r="F19" i="108"/>
  <c r="E18" i="108"/>
  <c r="F18" i="108" s="1"/>
  <c r="G18" i="108" s="1"/>
  <c r="F15" i="108"/>
  <c r="F14" i="108"/>
  <c r="F13" i="108" s="1"/>
  <c r="E14" i="108"/>
  <c r="E13" i="108"/>
  <c r="F12" i="108"/>
  <c r="F11" i="108" s="1"/>
  <c r="F10" i="108" s="1"/>
  <c r="E11" i="108"/>
  <c r="E10" i="108"/>
  <c r="F9" i="108"/>
  <c r="F8" i="108" s="1"/>
  <c r="F7" i="108" s="1"/>
  <c r="E8" i="108"/>
  <c r="E7" i="108" s="1"/>
  <c r="E4" i="108"/>
  <c r="D4" i="108"/>
  <c r="D667" i="97"/>
  <c r="D666" i="97" s="1"/>
  <c r="D663" i="97"/>
  <c r="D662" i="97" s="1"/>
  <c r="D657" i="97"/>
  <c r="D656" i="97" s="1"/>
  <c r="D653" i="97"/>
  <c r="D615" i="97"/>
  <c r="D598" i="97"/>
  <c r="D562" i="97"/>
  <c r="D561" i="97" s="1"/>
  <c r="D514" i="97"/>
  <c r="D8" i="97"/>
  <c r="D52" i="23"/>
  <c r="C36" i="23"/>
  <c r="D51" i="23"/>
  <c r="D44" i="23"/>
  <c r="F14" i="23"/>
  <c r="F13" i="23"/>
  <c r="F55" i="23"/>
  <c r="F53" i="23"/>
  <c r="G53" i="23" s="1"/>
  <c r="F50" i="23"/>
  <c r="F43" i="23"/>
  <c r="F40" i="23"/>
  <c r="E42" i="23"/>
  <c r="E41" i="23" s="1"/>
  <c r="F41" i="23" s="1"/>
  <c r="D42" i="23"/>
  <c r="D41" i="23" s="1"/>
  <c r="F36" i="23"/>
  <c r="G36" i="23" s="1"/>
  <c r="E39" i="23"/>
  <c r="F39" i="23" s="1"/>
  <c r="F37" i="23"/>
  <c r="C23" i="23"/>
  <c r="F9" i="23"/>
  <c r="D8" i="23"/>
  <c r="D7" i="23" s="1"/>
  <c r="F48" i="119" l="1"/>
  <c r="E46" i="119"/>
  <c r="E45" i="119" s="1"/>
  <c r="F54" i="23"/>
  <c r="E49" i="52"/>
  <c r="E554" i="97"/>
  <c r="E539" i="97"/>
  <c r="V539" i="97" s="1"/>
  <c r="E563" i="97"/>
  <c r="E605" i="97"/>
  <c r="E557" i="97"/>
  <c r="E546" i="97"/>
  <c r="V546" i="97" s="1"/>
  <c r="E580" i="97"/>
  <c r="V580" i="97" s="1"/>
  <c r="E616" i="97"/>
  <c r="E564" i="97"/>
  <c r="E612" i="97"/>
  <c r="AE522" i="97"/>
  <c r="F37" i="110"/>
  <c r="F36" i="110" s="1"/>
  <c r="K615" i="97"/>
  <c r="E33" i="117" s="1"/>
  <c r="X2" i="115"/>
  <c r="Y7" i="97"/>
  <c r="F515" i="97"/>
  <c r="G515" i="97" s="1"/>
  <c r="D7" i="97"/>
  <c r="F14" i="111"/>
  <c r="G14" i="111" s="1"/>
  <c r="H14" i="111" s="1"/>
  <c r="W4" i="115"/>
  <c r="X4" i="115" s="1"/>
  <c r="C23" i="117"/>
  <c r="C20" i="117" s="1"/>
  <c r="T26" i="115"/>
  <c r="D597" i="97"/>
  <c r="K663" i="97"/>
  <c r="K662" i="97" s="1"/>
  <c r="E664" i="97"/>
  <c r="I562" i="97"/>
  <c r="E18" i="117" s="1"/>
  <c r="K653" i="97"/>
  <c r="E34" i="117" s="1"/>
  <c r="K562" i="97"/>
  <c r="E31" i="117" s="1"/>
  <c r="I519" i="97"/>
  <c r="E17" i="117" s="1"/>
  <c r="K519" i="97"/>
  <c r="E30" i="117" s="1"/>
  <c r="J519" i="97"/>
  <c r="E23" i="117" s="1"/>
  <c r="E514" i="97"/>
  <c r="F514" i="97" s="1"/>
  <c r="G514" i="97" s="1"/>
  <c r="E646" i="97"/>
  <c r="F643" i="97"/>
  <c r="G643" i="97" s="1"/>
  <c r="M40" i="119"/>
  <c r="N40" i="119" s="1"/>
  <c r="O40" i="119" s="1"/>
  <c r="L41" i="52"/>
  <c r="M41" i="52" s="1"/>
  <c r="N41" i="52" s="1"/>
  <c r="H519" i="97"/>
  <c r="F650" i="97"/>
  <c r="G650" i="97" s="1"/>
  <c r="M42" i="119"/>
  <c r="N42" i="119" s="1"/>
  <c r="O42" i="119" s="1"/>
  <c r="L43" i="52"/>
  <c r="M43" i="52" s="1"/>
  <c r="N43" i="52" s="1"/>
  <c r="L17" i="52"/>
  <c r="M17" i="52" s="1"/>
  <c r="N17" i="52" s="1"/>
  <c r="M16" i="119"/>
  <c r="J598" i="97"/>
  <c r="E25" i="117" s="1"/>
  <c r="X17" i="112"/>
  <c r="G15" i="111"/>
  <c r="H15" i="111" s="1"/>
  <c r="F16" i="112"/>
  <c r="G16" i="112" s="1"/>
  <c r="H16" i="112" s="1"/>
  <c r="G26" i="115"/>
  <c r="H26" i="115" s="1"/>
  <c r="C27" i="117"/>
  <c r="H668" i="97"/>
  <c r="G37" i="110"/>
  <c r="G36" i="110" s="1"/>
  <c r="H36" i="110" s="1"/>
  <c r="F28" i="111"/>
  <c r="F27" i="111" s="1"/>
  <c r="V18" i="112"/>
  <c r="W18" i="112" s="1"/>
  <c r="X18" i="112" s="1"/>
  <c r="V19" i="112"/>
  <c r="W19" i="112" s="1"/>
  <c r="X19" i="112" s="1"/>
  <c r="V20" i="112"/>
  <c r="W20" i="112" s="1"/>
  <c r="X20" i="112" s="1"/>
  <c r="F25" i="113"/>
  <c r="H637" i="97" s="1"/>
  <c r="F27" i="115"/>
  <c r="T27" i="115" s="1"/>
  <c r="J562" i="97"/>
  <c r="E52" i="23"/>
  <c r="E51" i="23" s="1"/>
  <c r="F51" i="23" s="1"/>
  <c r="D6" i="23"/>
  <c r="J615" i="97"/>
  <c r="H562" i="97"/>
  <c r="K598" i="97"/>
  <c r="T52" i="114"/>
  <c r="G52" i="114"/>
  <c r="H52" i="114" s="1"/>
  <c r="T28" i="114"/>
  <c r="U28" i="114" s="1"/>
  <c r="F28" i="114" s="1"/>
  <c r="G53" i="114"/>
  <c r="H53" i="114" s="1"/>
  <c r="U92" i="114"/>
  <c r="F12" i="114"/>
  <c r="F47" i="114"/>
  <c r="G47" i="114" s="1"/>
  <c r="H47" i="114" s="1"/>
  <c r="G51" i="115"/>
  <c r="H51" i="115" s="1"/>
  <c r="F50" i="115"/>
  <c r="G50" i="115" s="1"/>
  <c r="H50" i="115" s="1"/>
  <c r="F45" i="115"/>
  <c r="G45" i="115" s="1"/>
  <c r="H45" i="115" s="1"/>
  <c r="H49" i="115"/>
  <c r="G54" i="115"/>
  <c r="H54" i="115" s="1"/>
  <c r="U1" i="115"/>
  <c r="W1" i="115" s="1"/>
  <c r="G80" i="115"/>
  <c r="G85" i="115"/>
  <c r="G30" i="115"/>
  <c r="H30" i="115" s="1"/>
  <c r="V8" i="115"/>
  <c r="X5" i="115" s="1"/>
  <c r="F15" i="113"/>
  <c r="G15" i="113" s="1"/>
  <c r="H15" i="113" s="1"/>
  <c r="G26" i="113"/>
  <c r="F38" i="113"/>
  <c r="F9" i="113"/>
  <c r="G9" i="113" s="1"/>
  <c r="H9" i="113" s="1"/>
  <c r="F34" i="113"/>
  <c r="G34" i="113" s="1"/>
  <c r="H34" i="113" s="1"/>
  <c r="G11" i="112"/>
  <c r="H11" i="112" s="1"/>
  <c r="F10" i="112"/>
  <c r="G44" i="112"/>
  <c r="H44" i="112" s="1"/>
  <c r="F43" i="112"/>
  <c r="F26" i="112"/>
  <c r="G26" i="112" s="1"/>
  <c r="H26" i="112" s="1"/>
  <c r="G28" i="112"/>
  <c r="H28" i="112" s="1"/>
  <c r="T7" i="112"/>
  <c r="T8" i="112" s="1"/>
  <c r="F60" i="112"/>
  <c r="F36" i="112"/>
  <c r="G36" i="112" s="1"/>
  <c r="H36" i="112" s="1"/>
  <c r="F56" i="112"/>
  <c r="G56" i="112" s="1"/>
  <c r="H56" i="112" s="1"/>
  <c r="H24" i="111"/>
  <c r="G23" i="111"/>
  <c r="H23" i="111" s="1"/>
  <c r="G28" i="111"/>
  <c r="H30" i="111"/>
  <c r="F7" i="111"/>
  <c r="H25" i="111"/>
  <c r="G8" i="110"/>
  <c r="G7" i="110" s="1"/>
  <c r="F20" i="110"/>
  <c r="G20" i="110" s="1"/>
  <c r="H20" i="110" s="1"/>
  <c r="F15" i="110"/>
  <c r="G28" i="109"/>
  <c r="F27" i="109"/>
  <c r="G24" i="109"/>
  <c r="F23" i="109"/>
  <c r="G23" i="109" s="1"/>
  <c r="G25" i="109"/>
  <c r="E27" i="109"/>
  <c r="E26" i="109" s="1"/>
  <c r="E6" i="109" s="1"/>
  <c r="J6" i="109" s="1"/>
  <c r="F30" i="109"/>
  <c r="G30" i="109" s="1"/>
  <c r="F7" i="109"/>
  <c r="F27" i="108"/>
  <c r="E33" i="108"/>
  <c r="F33" i="108" s="1"/>
  <c r="G33" i="108" s="1"/>
  <c r="E17" i="108"/>
  <c r="F49" i="23"/>
  <c r="F44" i="23"/>
  <c r="F42" i="23"/>
  <c r="F38" i="23"/>
  <c r="F8" i="23"/>
  <c r="F7" i="23" s="1"/>
  <c r="F45" i="23"/>
  <c r="G48" i="119" l="1"/>
  <c r="F46" i="119"/>
  <c r="F49" i="52"/>
  <c r="E47" i="52"/>
  <c r="E46" i="52" s="1"/>
  <c r="I14" i="90" s="1"/>
  <c r="F13" i="111"/>
  <c r="G13" i="111" s="1"/>
  <c r="H13" i="111" s="1"/>
  <c r="E562" i="97"/>
  <c r="E561" i="97" s="1"/>
  <c r="F664" i="97"/>
  <c r="G664" i="97" s="1"/>
  <c r="L51" i="52"/>
  <c r="N16" i="119"/>
  <c r="O16" i="119" s="1"/>
  <c r="M15" i="119"/>
  <c r="N15" i="119" s="1"/>
  <c r="O15" i="119" s="1"/>
  <c r="G27" i="115"/>
  <c r="H27" i="115" s="1"/>
  <c r="E8" i="117"/>
  <c r="E20" i="23"/>
  <c r="F20" i="23" s="1"/>
  <c r="G20" i="23" s="1"/>
  <c r="H615" i="97"/>
  <c r="E11" i="117" s="1"/>
  <c r="H37" i="110"/>
  <c r="L42" i="52"/>
  <c r="M42" i="52" s="1"/>
  <c r="N42" i="52" s="1"/>
  <c r="M32" i="119"/>
  <c r="N32" i="119" s="1"/>
  <c r="O32" i="119" s="1"/>
  <c r="L35" i="52"/>
  <c r="M35" i="52" s="1"/>
  <c r="N35" i="52" s="1"/>
  <c r="L22" i="52"/>
  <c r="M22" i="52" s="1"/>
  <c r="N22" i="52" s="1"/>
  <c r="F522" i="97"/>
  <c r="G522" i="97" s="1"/>
  <c r="F557" i="97"/>
  <c r="G557" i="97" s="1"/>
  <c r="M28" i="119"/>
  <c r="N28" i="119" s="1"/>
  <c r="O28" i="119" s="1"/>
  <c r="D6" i="97"/>
  <c r="F20" i="113"/>
  <c r="G20" i="113" s="1"/>
  <c r="G25" i="113"/>
  <c r="I561" i="97"/>
  <c r="M21" i="119"/>
  <c r="N21" i="119" s="1"/>
  <c r="O21" i="119" s="1"/>
  <c r="F546" i="97"/>
  <c r="G546" i="97" s="1"/>
  <c r="E663" i="97"/>
  <c r="C10" i="117"/>
  <c r="M50" i="119"/>
  <c r="L29" i="52"/>
  <c r="M29" i="52" s="1"/>
  <c r="N29" i="52" s="1"/>
  <c r="K561" i="97"/>
  <c r="M41" i="119"/>
  <c r="N41" i="119" s="1"/>
  <c r="O41" i="119" s="1"/>
  <c r="F580" i="97"/>
  <c r="G580" i="97" s="1"/>
  <c r="M37" i="119"/>
  <c r="N37" i="119" s="1"/>
  <c r="O37" i="119" s="1"/>
  <c r="F612" i="97"/>
  <c r="G612" i="97" s="1"/>
  <c r="L38" i="52"/>
  <c r="F646" i="97"/>
  <c r="G646" i="97" s="1"/>
  <c r="F605" i="97"/>
  <c r="G605" i="97" s="1"/>
  <c r="L33" i="52"/>
  <c r="M33" i="52" s="1"/>
  <c r="N33" i="52" s="1"/>
  <c r="F564" i="97"/>
  <c r="G564" i="97" s="1"/>
  <c r="F563" i="97"/>
  <c r="G563" i="97" s="1"/>
  <c r="F616" i="97"/>
  <c r="G616" i="97" s="1"/>
  <c r="M34" i="119"/>
  <c r="N34" i="119" s="1"/>
  <c r="O34" i="119" s="1"/>
  <c r="L21" i="52"/>
  <c r="M21" i="52" s="1"/>
  <c r="N21" i="52" s="1"/>
  <c r="M20" i="119"/>
  <c r="N20" i="119" s="1"/>
  <c r="O20" i="119" s="1"/>
  <c r="M19" i="119"/>
  <c r="N19" i="119" s="1"/>
  <c r="O19" i="119" s="1"/>
  <c r="L20" i="52"/>
  <c r="M20" i="52" s="1"/>
  <c r="N20" i="52" s="1"/>
  <c r="J561" i="97"/>
  <c r="E24" i="117"/>
  <c r="F554" i="97"/>
  <c r="G554" i="97" s="1"/>
  <c r="M22" i="119"/>
  <c r="N22" i="119" s="1"/>
  <c r="O22" i="119" s="1"/>
  <c r="L23" i="52"/>
  <c r="M23" i="52" s="1"/>
  <c r="N23" i="52" s="1"/>
  <c r="L24" i="52"/>
  <c r="M24" i="52" s="1"/>
  <c r="N24" i="52" s="1"/>
  <c r="M23" i="119"/>
  <c r="N23" i="119" s="1"/>
  <c r="O23" i="119" s="1"/>
  <c r="L19" i="52"/>
  <c r="M18" i="119"/>
  <c r="F520" i="97"/>
  <c r="G520" i="97" s="1"/>
  <c r="K597" i="97"/>
  <c r="E32" i="117"/>
  <c r="J597" i="97"/>
  <c r="E26" i="117"/>
  <c r="L27" i="52"/>
  <c r="M26" i="119"/>
  <c r="N26" i="119" s="1"/>
  <c r="O26" i="119" s="1"/>
  <c r="H561" i="97"/>
  <c r="W8" i="97" s="1"/>
  <c r="W9" i="97" s="1"/>
  <c r="E9" i="117"/>
  <c r="L28" i="52"/>
  <c r="M28" i="52" s="1"/>
  <c r="N28" i="52" s="1"/>
  <c r="M27" i="119"/>
  <c r="E599" i="97"/>
  <c r="E598" i="97" s="1"/>
  <c r="E637" i="97"/>
  <c r="H667" i="97"/>
  <c r="H666" i="97" s="1"/>
  <c r="E668" i="97"/>
  <c r="C9" i="117" s="1"/>
  <c r="E519" i="97"/>
  <c r="F52" i="23"/>
  <c r="F539" i="97"/>
  <c r="G539" i="97" s="1"/>
  <c r="G28" i="114"/>
  <c r="H28" i="114" s="1"/>
  <c r="F27" i="114"/>
  <c r="F8" i="114" s="1"/>
  <c r="G12" i="114"/>
  <c r="H12" i="114" s="1"/>
  <c r="F7" i="113"/>
  <c r="G38" i="113"/>
  <c r="H38" i="113" s="1"/>
  <c r="F37" i="113"/>
  <c r="G37" i="113" s="1"/>
  <c r="H37" i="113" s="1"/>
  <c r="G43" i="112"/>
  <c r="H43" i="112" s="1"/>
  <c r="F42" i="112"/>
  <c r="G60" i="112"/>
  <c r="H60" i="112" s="1"/>
  <c r="F59" i="112"/>
  <c r="G59" i="112" s="1"/>
  <c r="H59" i="112" s="1"/>
  <c r="G10" i="112"/>
  <c r="H10" i="112" s="1"/>
  <c r="F8" i="112"/>
  <c r="H28" i="111"/>
  <c r="G27" i="111"/>
  <c r="G15" i="110"/>
  <c r="H15" i="110" s="1"/>
  <c r="F14" i="110"/>
  <c r="G27" i="109"/>
  <c r="F26" i="109"/>
  <c r="G26" i="109" s="1"/>
  <c r="G7" i="109"/>
  <c r="F6" i="109"/>
  <c r="G6" i="109" s="1"/>
  <c r="F17" i="108"/>
  <c r="G17" i="108" s="1"/>
  <c r="E16" i="108"/>
  <c r="F45" i="119" l="1"/>
  <c r="G45" i="119" s="1"/>
  <c r="G46" i="119"/>
  <c r="F6" i="111"/>
  <c r="K6" i="111" s="1"/>
  <c r="G49" i="52"/>
  <c r="F47" i="52"/>
  <c r="F562" i="97"/>
  <c r="G562" i="97" s="1"/>
  <c r="M19" i="52"/>
  <c r="N19" i="52" s="1"/>
  <c r="L18" i="52"/>
  <c r="M18" i="52" s="1"/>
  <c r="N18" i="52" s="1"/>
  <c r="L26" i="52"/>
  <c r="M38" i="52"/>
  <c r="N38" i="52" s="1"/>
  <c r="N18" i="119"/>
  <c r="O18" i="119" s="1"/>
  <c r="M17" i="119"/>
  <c r="N17" i="119" s="1"/>
  <c r="O17" i="119" s="1"/>
  <c r="F519" i="97"/>
  <c r="G519" i="97" s="1"/>
  <c r="AE519" i="97"/>
  <c r="E26" i="23"/>
  <c r="E21" i="23"/>
  <c r="H598" i="97"/>
  <c r="E10" i="117" s="1"/>
  <c r="M51" i="52"/>
  <c r="N51" i="52" s="1"/>
  <c r="L50" i="52"/>
  <c r="L49" i="52" s="1"/>
  <c r="M49" i="119"/>
  <c r="N50" i="119"/>
  <c r="O50" i="119" s="1"/>
  <c r="E662" i="97"/>
  <c r="F662" i="97" s="1"/>
  <c r="G662" i="97" s="1"/>
  <c r="F663" i="97"/>
  <c r="G663" i="97" s="1"/>
  <c r="F561" i="97"/>
  <c r="G561" i="97" s="1"/>
  <c r="M25" i="119"/>
  <c r="N27" i="119"/>
  <c r="O27" i="119" s="1"/>
  <c r="M27" i="52"/>
  <c r="N27" i="52" s="1"/>
  <c r="M53" i="119"/>
  <c r="L54" i="52"/>
  <c r="M39" i="119"/>
  <c r="L40" i="52"/>
  <c r="G27" i="114"/>
  <c r="H27" i="114" s="1"/>
  <c r="F637" i="97"/>
  <c r="G637" i="97" s="1"/>
  <c r="F668" i="97"/>
  <c r="G668" i="97" s="1"/>
  <c r="E667" i="97"/>
  <c r="T8" i="114"/>
  <c r="T6" i="114" s="1"/>
  <c r="G8" i="114"/>
  <c r="F7" i="114"/>
  <c r="F6" i="114" s="1"/>
  <c r="T7" i="113"/>
  <c r="G7" i="113"/>
  <c r="H7" i="113" s="1"/>
  <c r="F6" i="113"/>
  <c r="G6" i="113" s="1"/>
  <c r="H6" i="113" s="1"/>
  <c r="G8" i="112"/>
  <c r="H8" i="112" s="1"/>
  <c r="F7" i="112"/>
  <c r="G42" i="112"/>
  <c r="H42" i="112" s="1"/>
  <c r="F41" i="112"/>
  <c r="G41" i="112" s="1"/>
  <c r="H41" i="112" s="1"/>
  <c r="H27" i="111"/>
  <c r="G6" i="111"/>
  <c r="H6" i="111" s="1"/>
  <c r="G14" i="110"/>
  <c r="H14" i="110" s="1"/>
  <c r="F13" i="110"/>
  <c r="F16" i="108"/>
  <c r="J6" i="108"/>
  <c r="F46" i="52" l="1"/>
  <c r="G46" i="52" s="1"/>
  <c r="G47" i="52"/>
  <c r="H597" i="97"/>
  <c r="F22" i="23" s="1"/>
  <c r="G22" i="23" s="1"/>
  <c r="F21" i="23"/>
  <c r="G21" i="23" s="1"/>
  <c r="N49" i="119"/>
  <c r="O49" i="119" s="1"/>
  <c r="M48" i="119"/>
  <c r="N48" i="119" s="1"/>
  <c r="O48" i="119" s="1"/>
  <c r="M50" i="52"/>
  <c r="N50" i="52" s="1"/>
  <c r="N39" i="119"/>
  <c r="O39" i="119" s="1"/>
  <c r="M26" i="52"/>
  <c r="N26" i="52" s="1"/>
  <c r="L25" i="52"/>
  <c r="L53" i="52"/>
  <c r="M54" i="52"/>
  <c r="N54" i="52" s="1"/>
  <c r="M40" i="52"/>
  <c r="N40" i="52" s="1"/>
  <c r="M52" i="119"/>
  <c r="N53" i="119"/>
  <c r="O53" i="119" s="1"/>
  <c r="M24" i="119"/>
  <c r="N24" i="119" s="1"/>
  <c r="O24" i="119" s="1"/>
  <c r="N25" i="119"/>
  <c r="O25" i="119" s="1"/>
  <c r="M31" i="119"/>
  <c r="N31" i="119" s="1"/>
  <c r="O31" i="119" s="1"/>
  <c r="L32" i="52"/>
  <c r="E666" i="97"/>
  <c r="F666" i="97" s="1"/>
  <c r="G666" i="97" s="1"/>
  <c r="F667" i="97"/>
  <c r="G667" i="97" s="1"/>
  <c r="F599" i="97"/>
  <c r="G599" i="97" s="1"/>
  <c r="X11" i="114"/>
  <c r="X9" i="114"/>
  <c r="H8" i="114"/>
  <c r="G7" i="114"/>
  <c r="V6" i="114"/>
  <c r="U3" i="114" s="1"/>
  <c r="G7" i="112"/>
  <c r="H7" i="112" s="1"/>
  <c r="F6" i="112"/>
  <c r="G6" i="112" s="1"/>
  <c r="H6" i="112" s="1"/>
  <c r="G13" i="110"/>
  <c r="F6" i="110"/>
  <c r="K6" i="110" s="1"/>
  <c r="G16" i="108"/>
  <c r="F6" i="108"/>
  <c r="G6" i="108" s="1"/>
  <c r="M32" i="52" l="1"/>
  <c r="N32" i="52" s="1"/>
  <c r="I18" i="90"/>
  <c r="M49" i="52"/>
  <c r="N49" i="52" s="1"/>
  <c r="M25" i="52"/>
  <c r="N25" i="52" s="1"/>
  <c r="I17" i="90"/>
  <c r="L52" i="52"/>
  <c r="M53" i="52"/>
  <c r="N53" i="52" s="1"/>
  <c r="M51" i="119"/>
  <c r="N51" i="119" s="1"/>
  <c r="O51" i="119" s="1"/>
  <c r="N52" i="119"/>
  <c r="O52" i="119" s="1"/>
  <c r="G6" i="114"/>
  <c r="H6" i="114" s="1"/>
  <c r="H7" i="114"/>
  <c r="T3" i="114"/>
  <c r="V3" i="114" s="1"/>
  <c r="H13" i="110"/>
  <c r="G6" i="110"/>
  <c r="H6" i="110" s="1"/>
  <c r="I19" i="90" l="1"/>
  <c r="M52" i="52"/>
  <c r="N52" i="52" s="1"/>
  <c r="N41" i="107"/>
  <c r="O41" i="107" s="1"/>
  <c r="O40" i="107" s="1"/>
  <c r="O39" i="107"/>
  <c r="N39" i="107"/>
  <c r="N38" i="107"/>
  <c r="O38" i="107" s="1"/>
  <c r="O37" i="107"/>
  <c r="N37" i="107"/>
  <c r="N36" i="107"/>
  <c r="O36" i="107" s="1"/>
  <c r="O35" i="107"/>
  <c r="N35" i="107"/>
  <c r="N34" i="107"/>
  <c r="O34" i="107" s="1"/>
  <c r="N32" i="107"/>
  <c r="O32" i="107" s="1"/>
  <c r="N31" i="107"/>
  <c r="O31" i="107" s="1"/>
  <c r="N30" i="107"/>
  <c r="O30" i="107" s="1"/>
  <c r="N29" i="107"/>
  <c r="O29" i="107" s="1"/>
  <c r="N28" i="107"/>
  <c r="O28" i="107" s="1"/>
  <c r="N27" i="107"/>
  <c r="O27" i="107" s="1"/>
  <c r="N26" i="107"/>
  <c r="O26" i="107" s="1"/>
  <c r="N25" i="107"/>
  <c r="O25" i="107" s="1"/>
  <c r="N24" i="107"/>
  <c r="O24" i="107" s="1"/>
  <c r="N23" i="107"/>
  <c r="O23" i="107" s="1"/>
  <c r="N22" i="107"/>
  <c r="O22" i="107" s="1"/>
  <c r="N21" i="107"/>
  <c r="O21" i="107" s="1"/>
  <c r="N20" i="107"/>
  <c r="O20" i="107" s="1"/>
  <c r="O18" i="107"/>
  <c r="N18" i="107"/>
  <c r="N17" i="107"/>
  <c r="O17" i="107" s="1"/>
  <c r="O16" i="107"/>
  <c r="N16" i="107"/>
  <c r="N15" i="107"/>
  <c r="O15" i="107" s="1"/>
  <c r="O14" i="107"/>
  <c r="N14" i="107"/>
  <c r="N13" i="107"/>
  <c r="O13" i="107" s="1"/>
  <c r="O12" i="107"/>
  <c r="N12" i="107"/>
  <c r="N11" i="107"/>
  <c r="O11" i="107" s="1"/>
  <c r="O10" i="107"/>
  <c r="N10" i="107"/>
  <c r="N9" i="107"/>
  <c r="O9" i="107" s="1"/>
  <c r="O8" i="107"/>
  <c r="N8" i="107"/>
  <c r="N7" i="107"/>
  <c r="O7" i="107" s="1"/>
  <c r="O6" i="107"/>
  <c r="N6" i="107"/>
  <c r="R143" i="106"/>
  <c r="R142" i="106"/>
  <c r="R141" i="106"/>
  <c r="R140" i="106"/>
  <c r="R139" i="106"/>
  <c r="R137" i="106"/>
  <c r="R136" i="106"/>
  <c r="R135" i="106"/>
  <c r="R134" i="106"/>
  <c r="R133" i="106"/>
  <c r="R131" i="106"/>
  <c r="R130" i="106"/>
  <c r="R129" i="106"/>
  <c r="R128" i="106"/>
  <c r="R127" i="106"/>
  <c r="R121" i="106"/>
  <c r="G121" i="106" s="1"/>
  <c r="R118" i="106"/>
  <c r="G118" i="106" s="1"/>
  <c r="G117" i="106" s="1"/>
  <c r="R115" i="106"/>
  <c r="G115" i="106" s="1"/>
  <c r="R112" i="106"/>
  <c r="G112" i="106" s="1"/>
  <c r="R109" i="106"/>
  <c r="G109" i="106" s="1"/>
  <c r="G108" i="106" s="1"/>
  <c r="R106" i="106"/>
  <c r="G106" i="106" s="1"/>
  <c r="R103" i="106"/>
  <c r="G103" i="106" s="1"/>
  <c r="R99" i="106"/>
  <c r="G99" i="106"/>
  <c r="G98" i="106" s="1"/>
  <c r="R96" i="106"/>
  <c r="G96" i="106"/>
  <c r="R93" i="106"/>
  <c r="G93" i="106"/>
  <c r="R90" i="106"/>
  <c r="G90" i="106"/>
  <c r="G89" i="106" s="1"/>
  <c r="R87" i="106"/>
  <c r="G87" i="106"/>
  <c r="R81" i="106"/>
  <c r="G81" i="106"/>
  <c r="G80" i="106" s="1"/>
  <c r="R78" i="106"/>
  <c r="G78" i="106"/>
  <c r="R72" i="106"/>
  <c r="G72" i="106"/>
  <c r="G71" i="106" s="1"/>
  <c r="R69" i="106"/>
  <c r="G69" i="106"/>
  <c r="R63" i="106"/>
  <c r="G63" i="106"/>
  <c r="G62" i="106" s="1"/>
  <c r="R60" i="106"/>
  <c r="G60" i="106" s="1"/>
  <c r="R54" i="106"/>
  <c r="G54" i="106"/>
  <c r="G53" i="106" s="1"/>
  <c r="R51" i="106"/>
  <c r="G51" i="106"/>
  <c r="R45" i="106"/>
  <c r="G45" i="106"/>
  <c r="G44" i="106" s="1"/>
  <c r="R42" i="106"/>
  <c r="G42" i="106"/>
  <c r="H41" i="106"/>
  <c r="H50" i="106" s="1"/>
  <c r="H38" i="106"/>
  <c r="H47" i="106" s="1"/>
  <c r="R36" i="106"/>
  <c r="G36" i="106"/>
  <c r="G35" i="106" s="1"/>
  <c r="R33" i="106"/>
  <c r="G33" i="106"/>
  <c r="H32" i="106"/>
  <c r="R32" i="106" s="1"/>
  <c r="G32" i="106" s="1"/>
  <c r="G31" i="106" s="1"/>
  <c r="H29" i="106"/>
  <c r="R29" i="106" s="1"/>
  <c r="G29" i="106" s="1"/>
  <c r="G28" i="106" s="1"/>
  <c r="R27" i="106"/>
  <c r="G27" i="106"/>
  <c r="G26" i="106" s="1"/>
  <c r="R24" i="106"/>
  <c r="G24" i="106"/>
  <c r="R23" i="106"/>
  <c r="G23" i="106"/>
  <c r="G22" i="106" s="1"/>
  <c r="R20" i="106"/>
  <c r="G20" i="106" s="1"/>
  <c r="R18" i="106"/>
  <c r="G18" i="106"/>
  <c r="G17" i="106" s="1"/>
  <c r="R14" i="106"/>
  <c r="H14" i="106"/>
  <c r="G13" i="106"/>
  <c r="N11" i="96"/>
  <c r="K133" i="97" s="1"/>
  <c r="N5" i="96"/>
  <c r="L5" i="52"/>
  <c r="K5" i="52"/>
  <c r="K7" i="52"/>
  <c r="F22" i="52"/>
  <c r="G22" i="52" s="1"/>
  <c r="E13" i="52"/>
  <c r="F13" i="52" s="1"/>
  <c r="F12" i="52" s="1"/>
  <c r="F11" i="52" s="1"/>
  <c r="E9" i="52"/>
  <c r="AB123" i="92"/>
  <c r="AB202" i="92" s="1"/>
  <c r="L50" i="102"/>
  <c r="M50" i="102" s="1"/>
  <c r="L47" i="102"/>
  <c r="L46" i="102" s="1"/>
  <c r="L45" i="102" s="1"/>
  <c r="E47" i="102"/>
  <c r="F47" i="102" s="1"/>
  <c r="G47" i="102" s="1"/>
  <c r="E46" i="102"/>
  <c r="F46" i="102" s="1"/>
  <c r="G46" i="102" s="1"/>
  <c r="E45" i="102"/>
  <c r="L44" i="102"/>
  <c r="M44" i="102" s="1"/>
  <c r="L42" i="102"/>
  <c r="M42" i="102" s="1"/>
  <c r="N42" i="102" s="1"/>
  <c r="E42" i="102"/>
  <c r="F42" i="102" s="1"/>
  <c r="L41" i="102"/>
  <c r="M41" i="102" s="1"/>
  <c r="N41" i="102" s="1"/>
  <c r="E41" i="102"/>
  <c r="F41" i="102" s="1"/>
  <c r="L40" i="102"/>
  <c r="M40" i="102" s="1"/>
  <c r="N40" i="102" s="1"/>
  <c r="L39" i="102"/>
  <c r="M39" i="102" s="1"/>
  <c r="N39" i="102" s="1"/>
  <c r="L38" i="102"/>
  <c r="M38" i="102" s="1"/>
  <c r="N38" i="102" s="1"/>
  <c r="E38" i="102"/>
  <c r="E37" i="102" s="1"/>
  <c r="E36" i="102" s="1"/>
  <c r="L37" i="102"/>
  <c r="L35" i="102"/>
  <c r="M35" i="102" s="1"/>
  <c r="E35" i="102"/>
  <c r="F35" i="102" s="1"/>
  <c r="F34" i="102" s="1"/>
  <c r="L34" i="102"/>
  <c r="M34" i="102" s="1"/>
  <c r="N34" i="102" s="1"/>
  <c r="L33" i="102"/>
  <c r="M33" i="102" s="1"/>
  <c r="N33" i="102" s="1"/>
  <c r="J33" i="102"/>
  <c r="E33" i="102"/>
  <c r="F33" i="102" s="1"/>
  <c r="G33" i="102" s="1"/>
  <c r="L32" i="102"/>
  <c r="M32" i="102" s="1"/>
  <c r="N32" i="102" s="1"/>
  <c r="E32" i="102"/>
  <c r="L31" i="102"/>
  <c r="E29" i="102"/>
  <c r="F29" i="102" s="1"/>
  <c r="F28" i="102" s="1"/>
  <c r="L28" i="102"/>
  <c r="M28" i="102" s="1"/>
  <c r="N28" i="102" s="1"/>
  <c r="L27" i="102"/>
  <c r="M27" i="102" s="1"/>
  <c r="N27" i="102" s="1"/>
  <c r="F27" i="102"/>
  <c r="E27" i="102"/>
  <c r="L26" i="102"/>
  <c r="M26" i="102" s="1"/>
  <c r="F26" i="102"/>
  <c r="F23" i="102" s="1"/>
  <c r="E26" i="102"/>
  <c r="F25" i="102"/>
  <c r="E25" i="102"/>
  <c r="F24" i="102"/>
  <c r="E24" i="102"/>
  <c r="L23" i="102"/>
  <c r="M23" i="102" s="1"/>
  <c r="N23" i="102" s="1"/>
  <c r="L22" i="102"/>
  <c r="M22" i="102" s="1"/>
  <c r="N22" i="102" s="1"/>
  <c r="F22" i="102"/>
  <c r="L21" i="102"/>
  <c r="M21" i="102" s="1"/>
  <c r="N21" i="102" s="1"/>
  <c r="E21" i="102"/>
  <c r="D21" i="102"/>
  <c r="C21" i="102"/>
  <c r="L20" i="102"/>
  <c r="M20" i="102" s="1"/>
  <c r="N20" i="102" s="1"/>
  <c r="D20" i="102"/>
  <c r="L19" i="102"/>
  <c r="M19" i="102" s="1"/>
  <c r="N19" i="102" s="1"/>
  <c r="D19" i="102"/>
  <c r="C19" i="102"/>
  <c r="L18" i="102"/>
  <c r="B17" i="102"/>
  <c r="L16" i="102"/>
  <c r="M16" i="102" s="1"/>
  <c r="N16" i="102" s="1"/>
  <c r="E15" i="102"/>
  <c r="E14" i="102" s="1"/>
  <c r="E13" i="102" s="1"/>
  <c r="L14" i="102"/>
  <c r="M14" i="102" s="1"/>
  <c r="N14" i="102" s="1"/>
  <c r="E12" i="102"/>
  <c r="E11" i="102" s="1"/>
  <c r="E10" i="102" s="1"/>
  <c r="L10" i="102"/>
  <c r="M10" i="102" s="1"/>
  <c r="N10" i="102" s="1"/>
  <c r="E9" i="102"/>
  <c r="E8" i="102" s="1"/>
  <c r="E7" i="102" s="1"/>
  <c r="O6" i="102"/>
  <c r="L4" i="102"/>
  <c r="K4" i="102"/>
  <c r="Z117" i="92"/>
  <c r="AA117" i="92" s="1"/>
  <c r="Z109" i="92"/>
  <c r="Z107" i="92"/>
  <c r="Y107" i="92"/>
  <c r="AA107" i="92" s="1"/>
  <c r="Z105" i="92"/>
  <c r="Y105" i="92"/>
  <c r="Z103" i="92"/>
  <c r="Y103" i="92"/>
  <c r="Z101" i="92"/>
  <c r="Z99" i="92"/>
  <c r="AA99" i="92" s="1"/>
  <c r="Z97" i="92"/>
  <c r="Y97" i="92"/>
  <c r="Z95" i="92"/>
  <c r="AA95" i="92" s="1"/>
  <c r="Z93" i="92"/>
  <c r="Z91" i="92"/>
  <c r="Y91" i="92"/>
  <c r="Z89" i="92"/>
  <c r="Y89" i="92"/>
  <c r="Z87" i="92"/>
  <c r="Z83" i="92"/>
  <c r="Y83" i="92"/>
  <c r="Y82" i="92"/>
  <c r="Y81" i="92"/>
  <c r="Y79" i="92"/>
  <c r="Y77" i="92"/>
  <c r="Y75" i="92"/>
  <c r="Y73" i="92"/>
  <c r="Y70" i="92"/>
  <c r="Y69" i="92"/>
  <c r="Y68" i="92"/>
  <c r="Y67" i="92"/>
  <c r="Y66" i="92"/>
  <c r="Y65" i="92"/>
  <c r="Z17" i="92"/>
  <c r="Y17" i="92"/>
  <c r="Z15" i="92"/>
  <c r="Y15" i="92"/>
  <c r="Z67" i="92"/>
  <c r="Z55" i="92"/>
  <c r="Y55" i="92"/>
  <c r="Z49" i="92"/>
  <c r="Y49" i="92"/>
  <c r="Z23" i="92"/>
  <c r="Y23" i="92"/>
  <c r="Z21" i="92"/>
  <c r="Y21" i="92"/>
  <c r="Y7" i="92"/>
  <c r="Z7" i="92"/>
  <c r="Y9" i="92"/>
  <c r="Z9" i="92"/>
  <c r="Y11" i="92"/>
  <c r="Z11" i="92"/>
  <c r="Y13" i="92"/>
  <c r="Z13" i="92"/>
  <c r="Y19" i="92"/>
  <c r="Z19" i="92"/>
  <c r="Y25" i="92"/>
  <c r="Z25" i="92"/>
  <c r="Y27" i="92"/>
  <c r="Z27" i="92"/>
  <c r="Y29" i="92"/>
  <c r="Z29" i="92"/>
  <c r="Y31" i="92"/>
  <c r="Z31" i="92"/>
  <c r="Y33" i="92"/>
  <c r="Z33" i="92"/>
  <c r="Y35" i="92"/>
  <c r="Z35" i="92"/>
  <c r="Y37" i="92"/>
  <c r="Z37" i="92"/>
  <c r="Y39" i="92"/>
  <c r="Z39" i="92"/>
  <c r="Y41" i="92"/>
  <c r="Z41" i="92"/>
  <c r="Y43" i="92"/>
  <c r="Z43" i="92"/>
  <c r="Y45" i="92"/>
  <c r="Z45" i="92"/>
  <c r="Y47" i="92"/>
  <c r="Z47" i="92"/>
  <c r="Y51" i="92"/>
  <c r="Z51" i="92"/>
  <c r="Y53" i="92"/>
  <c r="Z53" i="92"/>
  <c r="Y57" i="92"/>
  <c r="Z57" i="92"/>
  <c r="Y59" i="92"/>
  <c r="Z59" i="92"/>
  <c r="AA59" i="92" s="1"/>
  <c r="Z61" i="92"/>
  <c r="Z63" i="92"/>
  <c r="Z65" i="92"/>
  <c r="Z69" i="92"/>
  <c r="Y71" i="92"/>
  <c r="Z71" i="92"/>
  <c r="Z73" i="92"/>
  <c r="AA73" i="92" s="1"/>
  <c r="Z75" i="92"/>
  <c r="Z77" i="92"/>
  <c r="Z79" i="92"/>
  <c r="Z81" i="92"/>
  <c r="Z85" i="92"/>
  <c r="AA85" i="92" s="1"/>
  <c r="Y111" i="92"/>
  <c r="Z111" i="92"/>
  <c r="Z113" i="92"/>
  <c r="AA113" i="92" s="1"/>
  <c r="Y115" i="92"/>
  <c r="Z115" i="92"/>
  <c r="I88" i="92"/>
  <c r="J101" i="92"/>
  <c r="U280" i="97" s="1"/>
  <c r="I101" i="92"/>
  <c r="J99" i="92"/>
  <c r="U279" i="97" s="1"/>
  <c r="I99" i="92"/>
  <c r="K102" i="92"/>
  <c r="L102" i="92" s="1"/>
  <c r="I102" i="92"/>
  <c r="H102" i="92"/>
  <c r="K101" i="92"/>
  <c r="H101" i="92"/>
  <c r="K100" i="92"/>
  <c r="L100" i="92" s="1"/>
  <c r="I100" i="92"/>
  <c r="H100" i="92"/>
  <c r="K99" i="92"/>
  <c r="O383" i="97" s="1"/>
  <c r="U383" i="97" s="1"/>
  <c r="H99" i="92"/>
  <c r="J21" i="92"/>
  <c r="U254" i="97" s="1"/>
  <c r="J57" i="92"/>
  <c r="U269" i="97" s="1"/>
  <c r="J53" i="92"/>
  <c r="U267" i="97" s="1"/>
  <c r="J79" i="92"/>
  <c r="U274" i="97" s="1"/>
  <c r="I71" i="92"/>
  <c r="K84" i="92"/>
  <c r="L84" i="92" s="1"/>
  <c r="I84" i="92"/>
  <c r="H84" i="92"/>
  <c r="K83" i="92"/>
  <c r="I83" i="92"/>
  <c r="H83" i="92"/>
  <c r="J55" i="92"/>
  <c r="U268" i="97" s="1"/>
  <c r="J49" i="92"/>
  <c r="U265" i="97" s="1"/>
  <c r="I113" i="92"/>
  <c r="Z5" i="92"/>
  <c r="Y5" i="92"/>
  <c r="J119" i="92"/>
  <c r="U288" i="97" s="1"/>
  <c r="H119" i="92"/>
  <c r="J117" i="92"/>
  <c r="U287" i="97" s="1"/>
  <c r="J103" i="92"/>
  <c r="U281" i="97" s="1"/>
  <c r="J107" i="92"/>
  <c r="U283" i="97" s="1"/>
  <c r="K108" i="92"/>
  <c r="L108" i="92" s="1"/>
  <c r="I108" i="92"/>
  <c r="H108" i="92"/>
  <c r="K107" i="92"/>
  <c r="I107" i="92"/>
  <c r="H107" i="92"/>
  <c r="K110" i="92"/>
  <c r="L110" i="92" s="1"/>
  <c r="I110" i="92"/>
  <c r="H110" i="92"/>
  <c r="K109" i="92"/>
  <c r="I109" i="92"/>
  <c r="H109" i="92"/>
  <c r="K106" i="92"/>
  <c r="L106" i="92" s="1"/>
  <c r="I106" i="92"/>
  <c r="H106" i="92"/>
  <c r="K105" i="92"/>
  <c r="I105" i="92"/>
  <c r="H105" i="92"/>
  <c r="K104" i="92"/>
  <c r="L104" i="92" s="1"/>
  <c r="I104" i="92"/>
  <c r="H104" i="92"/>
  <c r="K103" i="92"/>
  <c r="I103" i="92"/>
  <c r="H103" i="92"/>
  <c r="K118" i="92"/>
  <c r="L118" i="92" s="1"/>
  <c r="I118" i="92"/>
  <c r="H118" i="92"/>
  <c r="K117" i="92"/>
  <c r="I117" i="92"/>
  <c r="H117" i="92"/>
  <c r="J23" i="92"/>
  <c r="U255" i="97" s="1"/>
  <c r="I23" i="92"/>
  <c r="J15" i="92"/>
  <c r="U251" i="97" s="1"/>
  <c r="J17" i="92"/>
  <c r="U252" i="97" s="1"/>
  <c r="K16" i="92"/>
  <c r="M16" i="92" s="1"/>
  <c r="I16" i="92"/>
  <c r="H16" i="92"/>
  <c r="K15" i="92"/>
  <c r="I15" i="92"/>
  <c r="H15" i="92"/>
  <c r="K22" i="92"/>
  <c r="M22" i="92" s="1"/>
  <c r="I22" i="92"/>
  <c r="H22" i="92"/>
  <c r="K21" i="92"/>
  <c r="I21" i="92"/>
  <c r="H21" i="92"/>
  <c r="E133" i="97" l="1"/>
  <c r="K8" i="97"/>
  <c r="M15" i="92"/>
  <c r="AF430" i="97" s="1"/>
  <c r="O430" i="97"/>
  <c r="U430" i="97" s="1"/>
  <c r="AG430" i="97" s="1"/>
  <c r="O308" i="97"/>
  <c r="U308" i="97" s="1"/>
  <c r="L103" i="92"/>
  <c r="AF385" i="97" s="1"/>
  <c r="O385" i="97"/>
  <c r="U385" i="97" s="1"/>
  <c r="L105" i="92"/>
  <c r="AF386" i="97" s="1"/>
  <c r="O386" i="97"/>
  <c r="U386" i="97" s="1"/>
  <c r="L107" i="92"/>
  <c r="AF387" i="97" s="1"/>
  <c r="O387" i="97"/>
  <c r="U387" i="97" s="1"/>
  <c r="L101" i="92"/>
  <c r="AF384" i="97" s="1"/>
  <c r="O384" i="97"/>
  <c r="U384" i="97" s="1"/>
  <c r="L83" i="92"/>
  <c r="AF371" i="97" s="1"/>
  <c r="O371" i="97"/>
  <c r="U371" i="97" s="1"/>
  <c r="M21" i="92"/>
  <c r="AF435" i="97" s="1"/>
  <c r="O435" i="97"/>
  <c r="U435" i="97" s="1"/>
  <c r="O313" i="97"/>
  <c r="U313" i="97" s="1"/>
  <c r="L117" i="92"/>
  <c r="AF394" i="97" s="1"/>
  <c r="O394" i="97"/>
  <c r="U394" i="97" s="1"/>
  <c r="L109" i="92"/>
  <c r="AF388" i="97" s="1"/>
  <c r="O388" i="97"/>
  <c r="U388" i="97" s="1"/>
  <c r="E8" i="52"/>
  <c r="D11" i="90"/>
  <c r="D17" i="102"/>
  <c r="E23" i="102"/>
  <c r="P118" i="92"/>
  <c r="P106" i="92"/>
  <c r="P108" i="92"/>
  <c r="P84" i="92"/>
  <c r="P117" i="92"/>
  <c r="P105" i="92"/>
  <c r="P104" i="92"/>
  <c r="P110" i="92"/>
  <c r="P100" i="92"/>
  <c r="P103" i="92"/>
  <c r="P109" i="92"/>
  <c r="P102" i="92"/>
  <c r="AA91" i="92"/>
  <c r="AA17" i="92"/>
  <c r="AA75" i="92"/>
  <c r="T118" i="92"/>
  <c r="R118" i="92"/>
  <c r="S118" i="92" s="1"/>
  <c r="U118" i="92"/>
  <c r="T106" i="92"/>
  <c r="R106" i="92"/>
  <c r="S106" i="92" s="1"/>
  <c r="U106" i="92"/>
  <c r="T108" i="92"/>
  <c r="R108" i="92"/>
  <c r="S108" i="92" s="1"/>
  <c r="U108" i="92"/>
  <c r="R84" i="92"/>
  <c r="S84" i="92" s="1"/>
  <c r="T84" i="92"/>
  <c r="U84" i="92"/>
  <c r="AA53" i="92"/>
  <c r="AA27" i="92"/>
  <c r="R117" i="92"/>
  <c r="S117" i="92" s="1"/>
  <c r="U117" i="92"/>
  <c r="R107" i="92"/>
  <c r="S107" i="92" s="1"/>
  <c r="U107" i="92"/>
  <c r="T107" i="92"/>
  <c r="R83" i="92"/>
  <c r="S83" i="92" s="1"/>
  <c r="T83" i="92"/>
  <c r="U83" i="92"/>
  <c r="R104" i="92"/>
  <c r="S104" i="92" s="1"/>
  <c r="T104" i="92"/>
  <c r="U104" i="92"/>
  <c r="T110" i="92"/>
  <c r="U110" i="92"/>
  <c r="R110" i="92"/>
  <c r="S110" i="92" s="1"/>
  <c r="R100" i="92"/>
  <c r="S100" i="92" s="1"/>
  <c r="T100" i="92"/>
  <c r="U100" i="92"/>
  <c r="R103" i="92"/>
  <c r="S103" i="92" s="1"/>
  <c r="T103" i="92"/>
  <c r="U103" i="92"/>
  <c r="T109" i="92"/>
  <c r="R109" i="92"/>
  <c r="S109" i="92" s="1"/>
  <c r="U109" i="92"/>
  <c r="R102" i="92"/>
  <c r="S102" i="92" s="1"/>
  <c r="T102" i="92"/>
  <c r="U102" i="92"/>
  <c r="L30" i="102"/>
  <c r="Q106" i="92"/>
  <c r="Q107" i="92"/>
  <c r="Q83" i="92"/>
  <c r="Q108" i="92"/>
  <c r="Q84" i="92"/>
  <c r="Q104" i="92"/>
  <c r="Q110" i="92"/>
  <c r="O107" i="92"/>
  <c r="Q100" i="92"/>
  <c r="Q118" i="92"/>
  <c r="Q103" i="92"/>
  <c r="O104" i="92"/>
  <c r="Q109" i="92"/>
  <c r="O100" i="92"/>
  <c r="Q102" i="92"/>
  <c r="O117" i="92"/>
  <c r="AA111" i="92"/>
  <c r="O102" i="92"/>
  <c r="AA115" i="92"/>
  <c r="O83" i="92"/>
  <c r="O110" i="92"/>
  <c r="AA77" i="92"/>
  <c r="N123" i="92"/>
  <c r="O103" i="92"/>
  <c r="O109" i="92"/>
  <c r="O118" i="92"/>
  <c r="O106" i="92"/>
  <c r="O108" i="92"/>
  <c r="O84" i="92"/>
  <c r="AA21" i="92"/>
  <c r="AA49" i="92"/>
  <c r="AA103" i="92"/>
  <c r="AA51" i="92"/>
  <c r="E44" i="102"/>
  <c r="E43" i="102" s="1"/>
  <c r="E31" i="102"/>
  <c r="L36" i="102"/>
  <c r="M36" i="102" s="1"/>
  <c r="N36" i="102" s="1"/>
  <c r="L17" i="102"/>
  <c r="F21" i="102"/>
  <c r="E12" i="52"/>
  <c r="E11" i="52" s="1"/>
  <c r="F12" i="102"/>
  <c r="M18" i="102"/>
  <c r="M17" i="102" s="1"/>
  <c r="N17" i="102" s="1"/>
  <c r="E28" i="102"/>
  <c r="L43" i="102"/>
  <c r="Y123" i="92"/>
  <c r="Y202" i="92" s="1"/>
  <c r="AA69" i="92"/>
  <c r="AA89" i="92"/>
  <c r="AA5" i="92"/>
  <c r="AA81" i="92"/>
  <c r="AA61" i="92"/>
  <c r="AA45" i="92"/>
  <c r="AA41" i="92"/>
  <c r="AA37" i="92"/>
  <c r="AA19" i="92"/>
  <c r="AA11" i="92"/>
  <c r="AA7" i="92"/>
  <c r="AA119" i="92"/>
  <c r="AA71" i="92"/>
  <c r="AA63" i="92"/>
  <c r="AA43" i="92"/>
  <c r="AA35" i="92"/>
  <c r="AA31" i="92"/>
  <c r="AA13" i="92"/>
  <c r="AA67" i="92"/>
  <c r="AA65" i="92"/>
  <c r="AA83" i="92"/>
  <c r="AA93" i="92"/>
  <c r="AA97" i="92"/>
  <c r="AA101" i="92"/>
  <c r="AA105" i="92"/>
  <c r="AA109" i="92"/>
  <c r="Z123" i="92"/>
  <c r="Z202" i="92" s="1"/>
  <c r="E40" i="102"/>
  <c r="E39" i="102" s="1"/>
  <c r="O33" i="107"/>
  <c r="O19" i="107"/>
  <c r="O5" i="107"/>
  <c r="O4" i="107" s="1"/>
  <c r="R50" i="106"/>
  <c r="G50" i="106" s="1"/>
  <c r="G49" i="106" s="1"/>
  <c r="H59" i="106"/>
  <c r="G12" i="106"/>
  <c r="G102" i="106"/>
  <c r="G19" i="106"/>
  <c r="G16" i="106" s="1"/>
  <c r="G25" i="106"/>
  <c r="R47" i="106"/>
  <c r="G47" i="106" s="1"/>
  <c r="G46" i="106" s="1"/>
  <c r="G43" i="106" s="1"/>
  <c r="H56" i="106"/>
  <c r="G8" i="106"/>
  <c r="R38" i="106"/>
  <c r="G38" i="106" s="1"/>
  <c r="G37" i="106" s="1"/>
  <c r="G34" i="106" s="1"/>
  <c r="R41" i="106"/>
  <c r="G41" i="106" s="1"/>
  <c r="G40" i="106" s="1"/>
  <c r="F10" i="52"/>
  <c r="G10" i="52" s="1"/>
  <c r="M25" i="102"/>
  <c r="N26" i="102"/>
  <c r="N44" i="102"/>
  <c r="N45" i="102"/>
  <c r="M43" i="102"/>
  <c r="N43" i="102" s="1"/>
  <c r="M49" i="102"/>
  <c r="N51" i="102"/>
  <c r="G41" i="102"/>
  <c r="F40" i="102"/>
  <c r="L15" i="102"/>
  <c r="F38" i="102"/>
  <c r="M47" i="102"/>
  <c r="F32" i="102"/>
  <c r="E34" i="102"/>
  <c r="M37" i="102"/>
  <c r="N37" i="102" s="1"/>
  <c r="F45" i="102"/>
  <c r="L49" i="102"/>
  <c r="L48" i="102" s="1"/>
  <c r="M31" i="102"/>
  <c r="L25" i="102"/>
  <c r="L24" i="102" s="1"/>
  <c r="F9" i="102"/>
  <c r="F15" i="102"/>
  <c r="AA23" i="92"/>
  <c r="AA55" i="92"/>
  <c r="AA79" i="92"/>
  <c r="AA57" i="92"/>
  <c r="AA47" i="92"/>
  <c r="AA33" i="92"/>
  <c r="AA29" i="92"/>
  <c r="AA9" i="92"/>
  <c r="AA87" i="92"/>
  <c r="L99" i="92"/>
  <c r="AF383" i="97" s="1"/>
  <c r="AG383" i="97" s="1"/>
  <c r="AA39" i="92"/>
  <c r="AA25" i="92"/>
  <c r="AA15" i="92"/>
  <c r="L16" i="92"/>
  <c r="O16" i="92" s="1"/>
  <c r="L15" i="92"/>
  <c r="AF308" i="97" s="1"/>
  <c r="L22" i="92"/>
  <c r="O22" i="92" s="1"/>
  <c r="L21" i="92"/>
  <c r="AF313" i="97" s="1"/>
  <c r="O105" i="92" l="1"/>
  <c r="Q101" i="92"/>
  <c r="Q117" i="92"/>
  <c r="R105" i="92"/>
  <c r="S105" i="92" s="1"/>
  <c r="T117" i="92"/>
  <c r="Q105" i="92"/>
  <c r="U105" i="92"/>
  <c r="T105" i="92"/>
  <c r="P101" i="92"/>
  <c r="P83" i="92"/>
  <c r="AG394" i="97"/>
  <c r="AG371" i="97"/>
  <c r="AG387" i="97"/>
  <c r="AG385" i="97"/>
  <c r="P107" i="92"/>
  <c r="AG435" i="97"/>
  <c r="M10" i="119"/>
  <c r="N10" i="119" s="1"/>
  <c r="O10" i="119" s="1"/>
  <c r="L11" i="52"/>
  <c r="M11" i="52" s="1"/>
  <c r="N11" i="52" s="1"/>
  <c r="F133" i="97"/>
  <c r="G133" i="97" s="1"/>
  <c r="AG313" i="97"/>
  <c r="AG384" i="97"/>
  <c r="O101" i="92"/>
  <c r="U101" i="92"/>
  <c r="AG388" i="97"/>
  <c r="N202" i="92"/>
  <c r="I135" i="97" s="1"/>
  <c r="T101" i="92"/>
  <c r="AG308" i="97"/>
  <c r="R101" i="92"/>
  <c r="S101" i="92" s="1"/>
  <c r="AG386" i="97"/>
  <c r="N18" i="102"/>
  <c r="L29" i="102"/>
  <c r="M29" i="102" s="1"/>
  <c r="N29" i="102" s="1"/>
  <c r="E30" i="102"/>
  <c r="O15" i="92"/>
  <c r="T99" i="92"/>
  <c r="O21" i="92"/>
  <c r="P16" i="92"/>
  <c r="P99" i="92"/>
  <c r="P15" i="92"/>
  <c r="P22" i="92"/>
  <c r="P21" i="92"/>
  <c r="V100" i="92"/>
  <c r="W100" i="92" s="1"/>
  <c r="V83" i="92"/>
  <c r="V117" i="92"/>
  <c r="V102" i="92"/>
  <c r="W102" i="92" s="1"/>
  <c r="V118" i="92"/>
  <c r="V103" i="92"/>
  <c r="W103" i="92" s="1"/>
  <c r="V104" i="92"/>
  <c r="W104" i="92" s="1"/>
  <c r="V107" i="92"/>
  <c r="W107" i="92" s="1"/>
  <c r="V106" i="92"/>
  <c r="R16" i="92"/>
  <c r="S16" i="92" s="1"/>
  <c r="R99" i="92"/>
  <c r="S99" i="92" s="1"/>
  <c r="V109" i="92"/>
  <c r="W109" i="92" s="1"/>
  <c r="V110" i="92"/>
  <c r="V84" i="92"/>
  <c r="W84" i="92" s="1"/>
  <c r="V108" i="92"/>
  <c r="U15" i="92"/>
  <c r="T21" i="92"/>
  <c r="T22" i="92"/>
  <c r="T15" i="92"/>
  <c r="U16" i="92"/>
  <c r="R21" i="92"/>
  <c r="S21" i="92" s="1"/>
  <c r="U99" i="92"/>
  <c r="R22" i="92"/>
  <c r="S22" i="92" s="1"/>
  <c r="V101" i="92"/>
  <c r="W101" i="92" s="1"/>
  <c r="R15" i="92"/>
  <c r="S15" i="92" s="1"/>
  <c r="T16" i="92"/>
  <c r="U21" i="92"/>
  <c r="U22" i="92"/>
  <c r="U469" i="97"/>
  <c r="Q15" i="92"/>
  <c r="Q22" i="92"/>
  <c r="Q16" i="92"/>
  <c r="Q21" i="92"/>
  <c r="Q99" i="92"/>
  <c r="O99" i="92"/>
  <c r="F11" i="102"/>
  <c r="G12" i="102"/>
  <c r="F21" i="115"/>
  <c r="AA123" i="92"/>
  <c r="AA202" i="92" s="1"/>
  <c r="G11" i="106"/>
  <c r="R12" i="106"/>
  <c r="H68" i="106"/>
  <c r="R59" i="106"/>
  <c r="G59" i="106" s="1"/>
  <c r="G58" i="106" s="1"/>
  <c r="R8" i="106"/>
  <c r="G7" i="106"/>
  <c r="H65" i="106"/>
  <c r="R56" i="106"/>
  <c r="G56" i="106" s="1"/>
  <c r="G55" i="106" s="1"/>
  <c r="G52" i="106" s="1"/>
  <c r="F9" i="52"/>
  <c r="G9" i="52" s="1"/>
  <c r="F44" i="102"/>
  <c r="G45" i="102"/>
  <c r="M46" i="102"/>
  <c r="N48" i="102"/>
  <c r="G15" i="102"/>
  <c r="F14" i="102"/>
  <c r="F37" i="102"/>
  <c r="G38" i="102"/>
  <c r="N31" i="102"/>
  <c r="M30" i="102"/>
  <c r="N30" i="102" s="1"/>
  <c r="M15" i="102"/>
  <c r="N15" i="102" s="1"/>
  <c r="F39" i="102"/>
  <c r="G39" i="102" s="1"/>
  <c r="G40" i="102"/>
  <c r="G9" i="102"/>
  <c r="F8" i="102"/>
  <c r="F31" i="102"/>
  <c r="G32" i="102"/>
  <c r="M48" i="102"/>
  <c r="N49" i="102" s="1"/>
  <c r="N50" i="102"/>
  <c r="N25" i="102"/>
  <c r="M24" i="102"/>
  <c r="N24" i="102" s="1"/>
  <c r="W108" i="92"/>
  <c r="W106" i="92"/>
  <c r="V105" i="92" l="1"/>
  <c r="W105" i="92" s="1"/>
  <c r="V469" i="97"/>
  <c r="X103" i="92"/>
  <c r="X105" i="92"/>
  <c r="X101" i="92"/>
  <c r="X107" i="92"/>
  <c r="V22" i="92"/>
  <c r="W22" i="92" s="1"/>
  <c r="V99" i="92"/>
  <c r="W99" i="92" s="1"/>
  <c r="X99" i="92" s="1"/>
  <c r="V21" i="92"/>
  <c r="W21" i="92" s="1"/>
  <c r="V16" i="92"/>
  <c r="W16" i="92" s="1"/>
  <c r="V15" i="92"/>
  <c r="U493" i="97"/>
  <c r="G11" i="102"/>
  <c r="F10" i="102"/>
  <c r="G10" i="102" s="1"/>
  <c r="G21" i="115"/>
  <c r="H21" i="115" s="1"/>
  <c r="F12" i="115"/>
  <c r="R68" i="106"/>
  <c r="G68" i="106" s="1"/>
  <c r="G67" i="106" s="1"/>
  <c r="H77" i="106"/>
  <c r="R65" i="106"/>
  <c r="G65" i="106" s="1"/>
  <c r="G64" i="106" s="1"/>
  <c r="G61" i="106" s="1"/>
  <c r="H74" i="106"/>
  <c r="F8" i="52"/>
  <c r="G8" i="52" s="1"/>
  <c r="F43" i="102"/>
  <c r="G43" i="102" s="1"/>
  <c r="G44" i="102"/>
  <c r="F30" i="102"/>
  <c r="G30" i="102" s="1"/>
  <c r="G31" i="102"/>
  <c r="G37" i="102"/>
  <c r="F36" i="102"/>
  <c r="G36" i="102" s="1"/>
  <c r="N47" i="102"/>
  <c r="M45" i="102"/>
  <c r="N46" i="102" s="1"/>
  <c r="F7" i="102"/>
  <c r="G8" i="102"/>
  <c r="F13" i="102"/>
  <c r="G13" i="102" s="1"/>
  <c r="G14" i="102"/>
  <c r="W83" i="92"/>
  <c r="X83" i="92" s="1"/>
  <c r="W118" i="92"/>
  <c r="W117" i="92"/>
  <c r="W110" i="92"/>
  <c r="X109" i="92" s="1"/>
  <c r="X21" i="92" l="1"/>
  <c r="X117" i="92"/>
  <c r="W493" i="97"/>
  <c r="I482" i="97"/>
  <c r="O494" i="97"/>
  <c r="U494" i="97" s="1"/>
  <c r="W494" i="97" s="1"/>
  <c r="U496" i="97"/>
  <c r="W496" i="97" s="1"/>
  <c r="U495" i="97"/>
  <c r="W495" i="97" s="1"/>
  <c r="T12" i="115"/>
  <c r="T8" i="115" s="1"/>
  <c r="F8" i="115"/>
  <c r="G12" i="115"/>
  <c r="H12" i="115" s="1"/>
  <c r="H83" i="106"/>
  <c r="R74" i="106"/>
  <c r="G74" i="106" s="1"/>
  <c r="H86" i="106"/>
  <c r="R77" i="106"/>
  <c r="G77" i="106" s="1"/>
  <c r="G76" i="106" s="1"/>
  <c r="G7" i="102"/>
  <c r="I486" i="97" l="1"/>
  <c r="I8" i="97"/>
  <c r="W15" i="92"/>
  <c r="X15" i="92" s="1"/>
  <c r="G8" i="115"/>
  <c r="H8" i="115" s="1"/>
  <c r="F7" i="115"/>
  <c r="X3" i="115"/>
  <c r="X8" i="115"/>
  <c r="R86" i="106"/>
  <c r="G86" i="106" s="1"/>
  <c r="G85" i="106" s="1"/>
  <c r="H95" i="106"/>
  <c r="R83" i="106"/>
  <c r="G83" i="106" s="1"/>
  <c r="G82" i="106" s="1"/>
  <c r="G79" i="106" s="1"/>
  <c r="H92" i="106"/>
  <c r="G73" i="106"/>
  <c r="G70" i="106" s="1"/>
  <c r="I7" i="97" l="1"/>
  <c r="E15" i="117"/>
  <c r="G7" i="115"/>
  <c r="F6" i="115"/>
  <c r="H105" i="106"/>
  <c r="R95" i="106"/>
  <c r="G95" i="106" s="1"/>
  <c r="G94" i="106" s="1"/>
  <c r="H101" i="106"/>
  <c r="R92" i="106"/>
  <c r="G92" i="106" s="1"/>
  <c r="G91" i="106" s="1"/>
  <c r="H78" i="115" l="1"/>
  <c r="H87" i="115"/>
  <c r="H88" i="115"/>
  <c r="H92" i="115"/>
  <c r="H91" i="115"/>
  <c r="H89" i="115"/>
  <c r="H90" i="115"/>
  <c r="H7" i="115"/>
  <c r="G6" i="115"/>
  <c r="H6" i="115" s="1"/>
  <c r="H111" i="106"/>
  <c r="R101" i="106"/>
  <c r="G101" i="106" s="1"/>
  <c r="G100" i="106" s="1"/>
  <c r="H114" i="106"/>
  <c r="R114" i="106" s="1"/>
  <c r="G114" i="106" s="1"/>
  <c r="G113" i="106" s="1"/>
  <c r="R105" i="106"/>
  <c r="G105" i="106" s="1"/>
  <c r="G104" i="106" s="1"/>
  <c r="G88" i="106"/>
  <c r="J115" i="92"/>
  <c r="U286" i="97" s="1"/>
  <c r="J113" i="92"/>
  <c r="U285" i="97" s="1"/>
  <c r="J111" i="92"/>
  <c r="U284" i="97" s="1"/>
  <c r="H97" i="92"/>
  <c r="J93" i="92"/>
  <c r="U278" i="97" s="1"/>
  <c r="J91" i="92"/>
  <c r="U277" i="97" s="1"/>
  <c r="J85" i="92"/>
  <c r="U276" i="97" s="1"/>
  <c r="J81" i="92"/>
  <c r="U275" i="97" s="1"/>
  <c r="I13" i="92"/>
  <c r="I77" i="92"/>
  <c r="J73" i="92"/>
  <c r="U273" i="97" s="1"/>
  <c r="J71" i="92"/>
  <c r="U272" i="97" s="1"/>
  <c r="J69" i="92"/>
  <c r="U271" i="97" s="1"/>
  <c r="J65" i="92"/>
  <c r="U270" i="97" s="1"/>
  <c r="J51" i="92"/>
  <c r="U266" i="97" s="1"/>
  <c r="J47" i="92"/>
  <c r="U264" i="97" s="1"/>
  <c r="J45" i="92"/>
  <c r="U263" i="97" s="1"/>
  <c r="J43" i="92"/>
  <c r="U262" i="97" s="1"/>
  <c r="J37" i="92"/>
  <c r="U261" i="97" s="1"/>
  <c r="J35" i="92"/>
  <c r="U260" i="97" s="1"/>
  <c r="J29" i="92"/>
  <c r="U258" i="97" s="1"/>
  <c r="J27" i="92"/>
  <c r="U257" i="97" s="1"/>
  <c r="J25" i="92"/>
  <c r="U256" i="97" s="1"/>
  <c r="J19" i="92"/>
  <c r="U253" i="97" s="1"/>
  <c r="J13" i="92"/>
  <c r="U250" i="97" s="1"/>
  <c r="J11" i="92"/>
  <c r="U249" i="97" s="1"/>
  <c r="J9" i="92"/>
  <c r="U248" i="97" s="1"/>
  <c r="J7" i="92"/>
  <c r="U247" i="97" s="1"/>
  <c r="J33" i="92"/>
  <c r="U259" i="97" s="1"/>
  <c r="H25" i="92"/>
  <c r="H17" i="92"/>
  <c r="I17" i="92"/>
  <c r="K17" i="92"/>
  <c r="H18" i="92"/>
  <c r="K18" i="92"/>
  <c r="E19" i="92"/>
  <c r="S23" i="97" s="1"/>
  <c r="U23" i="97" s="1"/>
  <c r="U9" i="97" s="1"/>
  <c r="I19" i="92"/>
  <c r="K19" i="92"/>
  <c r="H20" i="92"/>
  <c r="I20" i="92"/>
  <c r="K20" i="92"/>
  <c r="H23" i="92"/>
  <c r="K23" i="92"/>
  <c r="H24" i="92"/>
  <c r="I24" i="92"/>
  <c r="K24" i="92"/>
  <c r="L24" i="92" s="1"/>
  <c r="H13" i="92"/>
  <c r="H11" i="92"/>
  <c r="H5" i="92"/>
  <c r="H12" i="92"/>
  <c r="H14" i="92"/>
  <c r="H26" i="92"/>
  <c r="H27" i="92"/>
  <c r="H28" i="92"/>
  <c r="H29" i="92"/>
  <c r="H30" i="92"/>
  <c r="H31" i="92"/>
  <c r="H32" i="92"/>
  <c r="H33" i="92"/>
  <c r="H34" i="92"/>
  <c r="H35" i="92"/>
  <c r="H36" i="92"/>
  <c r="H37" i="92"/>
  <c r="H38" i="92"/>
  <c r="H39" i="92"/>
  <c r="H40" i="92"/>
  <c r="H41" i="92"/>
  <c r="H42" i="92"/>
  <c r="H43" i="92"/>
  <c r="H44" i="92"/>
  <c r="H45" i="92"/>
  <c r="H46" i="92"/>
  <c r="H47" i="92"/>
  <c r="H48" i="92"/>
  <c r="H49" i="92"/>
  <c r="H50" i="92"/>
  <c r="H51" i="92"/>
  <c r="H52" i="92"/>
  <c r="H53" i="92"/>
  <c r="H54" i="92"/>
  <c r="H55" i="92"/>
  <c r="H56" i="92"/>
  <c r="H57" i="92"/>
  <c r="H58" i="92"/>
  <c r="H59" i="92"/>
  <c r="H60" i="92"/>
  <c r="H61" i="92"/>
  <c r="H62" i="92"/>
  <c r="H63" i="92"/>
  <c r="H64" i="92"/>
  <c r="H65" i="92"/>
  <c r="H66" i="92"/>
  <c r="H67" i="92"/>
  <c r="H68" i="92"/>
  <c r="H69" i="92"/>
  <c r="H70" i="92"/>
  <c r="H71" i="92"/>
  <c r="H72" i="92"/>
  <c r="H73" i="92"/>
  <c r="H74" i="92"/>
  <c r="H75" i="92"/>
  <c r="H76" i="92"/>
  <c r="H77" i="92"/>
  <c r="H78" i="92"/>
  <c r="H79" i="92"/>
  <c r="H80" i="92"/>
  <c r="H81" i="92"/>
  <c r="H82" i="92"/>
  <c r="H85" i="92"/>
  <c r="H86" i="92"/>
  <c r="H87" i="92"/>
  <c r="H88" i="92"/>
  <c r="H89" i="92"/>
  <c r="H90" i="92"/>
  <c r="H91" i="92"/>
  <c r="H92" i="92"/>
  <c r="H93" i="92"/>
  <c r="H94" i="92"/>
  <c r="H95" i="92"/>
  <c r="H96" i="92"/>
  <c r="H98" i="92"/>
  <c r="H111" i="92"/>
  <c r="H112" i="92"/>
  <c r="H113" i="92"/>
  <c r="H114" i="92"/>
  <c r="H115" i="92"/>
  <c r="H116" i="92"/>
  <c r="H120" i="92"/>
  <c r="H121" i="92"/>
  <c r="H122" i="92"/>
  <c r="H7" i="92"/>
  <c r="H8" i="92"/>
  <c r="H9" i="92"/>
  <c r="H10" i="92"/>
  <c r="H6" i="92"/>
  <c r="K7" i="92"/>
  <c r="K8" i="92"/>
  <c r="K9" i="92"/>
  <c r="K10" i="92"/>
  <c r="K11" i="92"/>
  <c r="K12" i="92"/>
  <c r="K13" i="92"/>
  <c r="K14" i="92"/>
  <c r="K25" i="92"/>
  <c r="K26" i="92"/>
  <c r="K27" i="92"/>
  <c r="K28" i="92"/>
  <c r="K29" i="92"/>
  <c r="K30" i="92"/>
  <c r="K31" i="92"/>
  <c r="K32" i="92"/>
  <c r="K33" i="92"/>
  <c r="K34" i="92"/>
  <c r="K35" i="92"/>
  <c r="K36" i="92"/>
  <c r="K37" i="92"/>
  <c r="K38" i="92"/>
  <c r="K39" i="92"/>
  <c r="K40" i="92"/>
  <c r="K41" i="92"/>
  <c r="K42" i="92"/>
  <c r="K43" i="92"/>
  <c r="K44" i="92"/>
  <c r="K45" i="92"/>
  <c r="K46" i="92"/>
  <c r="K47" i="92"/>
  <c r="K48" i="92"/>
  <c r="K49" i="92"/>
  <c r="K50" i="92"/>
  <c r="K51" i="92"/>
  <c r="K52" i="92"/>
  <c r="K53" i="92"/>
  <c r="K54" i="92"/>
  <c r="K55" i="92"/>
  <c r="K56" i="92"/>
  <c r="K57" i="92"/>
  <c r="K58" i="92"/>
  <c r="K59" i="92"/>
  <c r="K60" i="92"/>
  <c r="K61" i="92"/>
  <c r="K62" i="92"/>
  <c r="K63" i="92"/>
  <c r="K64" i="92"/>
  <c r="K65" i="92"/>
  <c r="K66" i="92"/>
  <c r="K67" i="92"/>
  <c r="K68" i="92"/>
  <c r="K69" i="92"/>
  <c r="K70" i="92"/>
  <c r="K71" i="92"/>
  <c r="K72" i="92"/>
  <c r="L72" i="92" s="1"/>
  <c r="K73" i="92"/>
  <c r="K74" i="92"/>
  <c r="K75" i="92"/>
  <c r="K76" i="92"/>
  <c r="K77" i="92"/>
  <c r="K78" i="92"/>
  <c r="K79" i="92"/>
  <c r="K80" i="92"/>
  <c r="K81" i="92"/>
  <c r="K82" i="92"/>
  <c r="K85" i="92"/>
  <c r="K86" i="92"/>
  <c r="K87" i="92"/>
  <c r="L87" i="92" s="1"/>
  <c r="K88" i="92"/>
  <c r="K89" i="92"/>
  <c r="L89" i="92" s="1"/>
  <c r="K90" i="92"/>
  <c r="K91" i="92"/>
  <c r="K92" i="92"/>
  <c r="K93" i="92"/>
  <c r="K94" i="92"/>
  <c r="K95" i="92"/>
  <c r="L95" i="92" s="1"/>
  <c r="K96" i="92"/>
  <c r="K97" i="92"/>
  <c r="K98" i="92"/>
  <c r="K111" i="92"/>
  <c r="K112" i="92"/>
  <c r="K113" i="92"/>
  <c r="K114" i="92"/>
  <c r="L114" i="92" s="1"/>
  <c r="K115" i="92"/>
  <c r="K116" i="92"/>
  <c r="K119" i="92"/>
  <c r="K120" i="92"/>
  <c r="L120" i="92" s="1"/>
  <c r="L121" i="92"/>
  <c r="O121" i="92" s="1"/>
  <c r="K122" i="92"/>
  <c r="I7" i="92"/>
  <c r="I8" i="92"/>
  <c r="I9" i="92"/>
  <c r="I10" i="92"/>
  <c r="I11" i="92"/>
  <c r="I12" i="92"/>
  <c r="I25" i="92"/>
  <c r="I26" i="92"/>
  <c r="I27" i="92"/>
  <c r="I28" i="92"/>
  <c r="I29" i="92"/>
  <c r="I30" i="92"/>
  <c r="I31" i="92"/>
  <c r="I32" i="92"/>
  <c r="I33" i="92"/>
  <c r="I34" i="92"/>
  <c r="I35" i="92"/>
  <c r="I36" i="92"/>
  <c r="I37" i="92"/>
  <c r="I38" i="92"/>
  <c r="I39" i="92"/>
  <c r="I40" i="92"/>
  <c r="I41" i="92"/>
  <c r="I42" i="92"/>
  <c r="I43" i="92"/>
  <c r="I44" i="92"/>
  <c r="I45" i="92"/>
  <c r="I46" i="92"/>
  <c r="I47" i="92"/>
  <c r="I48" i="92"/>
  <c r="I49" i="92"/>
  <c r="I50" i="92"/>
  <c r="I51" i="92"/>
  <c r="I52" i="92"/>
  <c r="I53" i="92"/>
  <c r="I54" i="92"/>
  <c r="I55" i="92"/>
  <c r="I57" i="92"/>
  <c r="I58" i="92"/>
  <c r="I59" i="92"/>
  <c r="I60" i="92"/>
  <c r="I61" i="92"/>
  <c r="I62" i="92"/>
  <c r="I63" i="92"/>
  <c r="I64" i="92"/>
  <c r="I65" i="92"/>
  <c r="I66" i="92"/>
  <c r="I67" i="92"/>
  <c r="I68" i="92"/>
  <c r="I69" i="92"/>
  <c r="I70" i="92"/>
  <c r="I72" i="92"/>
  <c r="I73" i="92"/>
  <c r="I74" i="92"/>
  <c r="I75" i="92"/>
  <c r="I76" i="92"/>
  <c r="I79" i="92"/>
  <c r="I80" i="92"/>
  <c r="I81" i="92"/>
  <c r="I82" i="92"/>
  <c r="I85" i="92"/>
  <c r="I86" i="92"/>
  <c r="I87" i="92"/>
  <c r="O87" i="92" s="1"/>
  <c r="I89" i="92"/>
  <c r="I90" i="92"/>
  <c r="I92" i="92"/>
  <c r="I94" i="92"/>
  <c r="I95" i="92"/>
  <c r="I96" i="92"/>
  <c r="I98" i="92"/>
  <c r="I111" i="92"/>
  <c r="I112" i="92"/>
  <c r="I114" i="92"/>
  <c r="I115" i="92"/>
  <c r="I116" i="92"/>
  <c r="I119" i="92"/>
  <c r="I120" i="92"/>
  <c r="I122" i="92"/>
  <c r="K6" i="92"/>
  <c r="K5" i="92"/>
  <c r="I5" i="92"/>
  <c r="I6" i="92"/>
  <c r="L76" i="92" l="1"/>
  <c r="AF364" i="97" s="1"/>
  <c r="O364" i="97"/>
  <c r="U364" i="97" s="1"/>
  <c r="L46" i="92"/>
  <c r="AF336" i="97" s="1"/>
  <c r="O454" i="97"/>
  <c r="U454" i="97" s="1"/>
  <c r="O336" i="97"/>
  <c r="U336" i="97" s="1"/>
  <c r="I123" i="92"/>
  <c r="W227" i="97" s="1"/>
  <c r="M6" i="92"/>
  <c r="AF421" i="97" s="1"/>
  <c r="O421" i="97"/>
  <c r="U421" i="97" s="1"/>
  <c r="AG421" i="97" s="1"/>
  <c r="O299" i="97"/>
  <c r="U299" i="97" s="1"/>
  <c r="L115" i="92"/>
  <c r="AF392" i="97" s="1"/>
  <c r="O392" i="97"/>
  <c r="U392" i="97" s="1"/>
  <c r="L97" i="92"/>
  <c r="AF381" i="97" s="1"/>
  <c r="O381" i="97"/>
  <c r="U381" i="97" s="1"/>
  <c r="L91" i="92"/>
  <c r="AF376" i="97" s="1"/>
  <c r="O376" i="97"/>
  <c r="U376" i="97" s="1"/>
  <c r="L85" i="92"/>
  <c r="AF372" i="97" s="1"/>
  <c r="O372" i="97"/>
  <c r="U372" i="97" s="1"/>
  <c r="L77" i="92"/>
  <c r="AF365" i="97" s="1"/>
  <c r="O365" i="97"/>
  <c r="U365" i="97" s="1"/>
  <c r="L71" i="92"/>
  <c r="AF360" i="97" s="1"/>
  <c r="O360" i="97"/>
  <c r="U360" i="97" s="1"/>
  <c r="L65" i="92"/>
  <c r="AF354" i="97" s="1"/>
  <c r="O354" i="97"/>
  <c r="U354" i="97" s="1"/>
  <c r="AG354" i="97" s="1"/>
  <c r="L59" i="92"/>
  <c r="AF348" i="97" s="1"/>
  <c r="O348" i="97"/>
  <c r="U348" i="97" s="1"/>
  <c r="L53" i="92"/>
  <c r="AF342" i="97" s="1"/>
  <c r="O459" i="97"/>
  <c r="U459" i="97" s="1"/>
  <c r="O342" i="97"/>
  <c r="U342" i="97" s="1"/>
  <c r="AG342" i="97" s="1"/>
  <c r="L47" i="92"/>
  <c r="AF337" i="97" s="1"/>
  <c r="O455" i="97"/>
  <c r="U455" i="97" s="1"/>
  <c r="O337" i="97"/>
  <c r="U337" i="97" s="1"/>
  <c r="M41" i="92"/>
  <c r="AF449" i="97" s="1"/>
  <c r="O449" i="97"/>
  <c r="U449" i="97" s="1"/>
  <c r="O331" i="97"/>
  <c r="U331" i="97" s="1"/>
  <c r="L35" i="92"/>
  <c r="AF325" i="97" s="1"/>
  <c r="O325" i="97"/>
  <c r="U325" i="97" s="1"/>
  <c r="L29" i="92"/>
  <c r="AF319" i="97" s="1"/>
  <c r="O441" i="97"/>
  <c r="U441" i="97" s="1"/>
  <c r="O319" i="97"/>
  <c r="U319" i="97" s="1"/>
  <c r="AG319" i="97" s="1"/>
  <c r="M13" i="92"/>
  <c r="AF428" i="97" s="1"/>
  <c r="O428" i="97"/>
  <c r="U428" i="97" s="1"/>
  <c r="O306" i="97"/>
  <c r="U306" i="97" s="1"/>
  <c r="L7" i="92"/>
  <c r="AF300" i="97" s="1"/>
  <c r="O422" i="97"/>
  <c r="U422" i="97" s="1"/>
  <c r="O300" i="97"/>
  <c r="U300" i="97" s="1"/>
  <c r="U246" i="97"/>
  <c r="L96" i="92"/>
  <c r="AF380" i="97" s="1"/>
  <c r="O380" i="97"/>
  <c r="U380" i="97" s="1"/>
  <c r="L64" i="92"/>
  <c r="AF353" i="97" s="1"/>
  <c r="O353" i="97"/>
  <c r="U353" i="97" s="1"/>
  <c r="AG353" i="97" s="1"/>
  <c r="L28" i="92"/>
  <c r="AF318" i="97" s="1"/>
  <c r="O440" i="97"/>
  <c r="U440" i="97" s="1"/>
  <c r="O318" i="97"/>
  <c r="U318" i="97" s="1"/>
  <c r="M17" i="92"/>
  <c r="AF431" i="97" s="1"/>
  <c r="O431" i="97"/>
  <c r="U431" i="97" s="1"/>
  <c r="O309" i="97"/>
  <c r="U309" i="97" s="1"/>
  <c r="L113" i="92"/>
  <c r="AF391" i="97" s="1"/>
  <c r="O391" i="97"/>
  <c r="U391" i="97" s="1"/>
  <c r="AG391" i="97" s="1"/>
  <c r="M81" i="92"/>
  <c r="AF463" i="97" s="1"/>
  <c r="O463" i="97"/>
  <c r="U463" i="97" s="1"/>
  <c r="O369" i="97"/>
  <c r="U369" i="97" s="1"/>
  <c r="L75" i="92"/>
  <c r="AF363" i="97" s="1"/>
  <c r="O363" i="97"/>
  <c r="U363" i="97" s="1"/>
  <c r="L69" i="92"/>
  <c r="AF358" i="97" s="1"/>
  <c r="O358" i="97"/>
  <c r="U358" i="97" s="1"/>
  <c r="L63" i="92"/>
  <c r="AF352" i="97" s="1"/>
  <c r="O352" i="97"/>
  <c r="U352" i="97" s="1"/>
  <c r="L57" i="92"/>
  <c r="AF346" i="97" s="1"/>
  <c r="O461" i="97"/>
  <c r="U461" i="97" s="1"/>
  <c r="O346" i="97"/>
  <c r="U346" i="97" s="1"/>
  <c r="L51" i="92"/>
  <c r="AF340" i="97" s="1"/>
  <c r="O457" i="97"/>
  <c r="U457" i="97" s="1"/>
  <c r="O340" i="97"/>
  <c r="U340" i="97" s="1"/>
  <c r="M45" i="92"/>
  <c r="AF453" i="97" s="1"/>
  <c r="O453" i="97"/>
  <c r="U453" i="97" s="1"/>
  <c r="AG453" i="97" s="1"/>
  <c r="O335" i="97"/>
  <c r="U335" i="97" s="1"/>
  <c r="L39" i="92"/>
  <c r="AF329" i="97" s="1"/>
  <c r="O329" i="97"/>
  <c r="U329" i="97" s="1"/>
  <c r="L33" i="92"/>
  <c r="AF323" i="97" s="1"/>
  <c r="O445" i="97"/>
  <c r="U445" i="97" s="1"/>
  <c r="O323" i="97"/>
  <c r="U323" i="97" s="1"/>
  <c r="L27" i="92"/>
  <c r="AF317" i="97" s="1"/>
  <c r="O439" i="97"/>
  <c r="U439" i="97" s="1"/>
  <c r="O317" i="97"/>
  <c r="U317" i="97" s="1"/>
  <c r="M11" i="92"/>
  <c r="AF426" i="97" s="1"/>
  <c r="O426" i="97"/>
  <c r="U426" i="97" s="1"/>
  <c r="O304" i="97"/>
  <c r="U304" i="97" s="1"/>
  <c r="O433" i="97"/>
  <c r="U433" i="97" s="1"/>
  <c r="O311" i="97"/>
  <c r="U311" i="97" s="1"/>
  <c r="L82" i="92"/>
  <c r="AF370" i="97" s="1"/>
  <c r="O464" i="97"/>
  <c r="U464" i="97" s="1"/>
  <c r="O370" i="97"/>
  <c r="U370" i="97" s="1"/>
  <c r="L58" i="92"/>
  <c r="AF347" i="97" s="1"/>
  <c r="O462" i="97"/>
  <c r="U462" i="97" s="1"/>
  <c r="O347" i="97"/>
  <c r="U347" i="97" s="1"/>
  <c r="AG347" i="97" s="1"/>
  <c r="L34" i="92"/>
  <c r="AF324" i="97" s="1"/>
  <c r="O446" i="97"/>
  <c r="U446" i="97" s="1"/>
  <c r="O324" i="97"/>
  <c r="U324" i="97" s="1"/>
  <c r="M112" i="92"/>
  <c r="AF466" i="97" s="1"/>
  <c r="O466" i="97"/>
  <c r="U466" i="97" s="1"/>
  <c r="O390" i="97"/>
  <c r="U390" i="97" s="1"/>
  <c r="L94" i="92"/>
  <c r="AF379" i="97" s="1"/>
  <c r="O379" i="97"/>
  <c r="U379" i="97" s="1"/>
  <c r="L88" i="92"/>
  <c r="AF374" i="97" s="1"/>
  <c r="O374" i="97"/>
  <c r="U374" i="97" s="1"/>
  <c r="L80" i="92"/>
  <c r="AF368" i="97" s="1"/>
  <c r="O368" i="97"/>
  <c r="U368" i="97" s="1"/>
  <c r="AG368" i="97" s="1"/>
  <c r="L74" i="92"/>
  <c r="AF362" i="97" s="1"/>
  <c r="O362" i="97"/>
  <c r="U362" i="97" s="1"/>
  <c r="L68" i="92"/>
  <c r="AF357" i="97" s="1"/>
  <c r="O357" i="97"/>
  <c r="U357" i="97" s="1"/>
  <c r="L62" i="92"/>
  <c r="AF351" i="97" s="1"/>
  <c r="O351" i="97"/>
  <c r="U351" i="97" s="1"/>
  <c r="L56" i="92"/>
  <c r="O345" i="97"/>
  <c r="U345" i="97" s="1"/>
  <c r="L44" i="92"/>
  <c r="AF334" i="97" s="1"/>
  <c r="O452" i="97"/>
  <c r="U452" i="97" s="1"/>
  <c r="O334" i="97"/>
  <c r="U334" i="97" s="1"/>
  <c r="M38" i="92"/>
  <c r="AF448" i="97" s="1"/>
  <c r="O448" i="97"/>
  <c r="U448" i="97" s="1"/>
  <c r="O328" i="97"/>
  <c r="U328" i="97" s="1"/>
  <c r="L32" i="92"/>
  <c r="AF322" i="97" s="1"/>
  <c r="O444" i="97"/>
  <c r="U444" i="97" s="1"/>
  <c r="O322" i="97"/>
  <c r="U322" i="97" s="1"/>
  <c r="L26" i="92"/>
  <c r="AF316" i="97" s="1"/>
  <c r="O438" i="97"/>
  <c r="U438" i="97" s="1"/>
  <c r="O316" i="97"/>
  <c r="U316" i="97" s="1"/>
  <c r="AG316" i="97" s="1"/>
  <c r="L10" i="92"/>
  <c r="AF303" i="97" s="1"/>
  <c r="O425" i="97"/>
  <c r="U425" i="97" s="1"/>
  <c r="O303" i="97"/>
  <c r="U303" i="97" s="1"/>
  <c r="L23" i="92"/>
  <c r="AF314" i="97" s="1"/>
  <c r="O436" i="97"/>
  <c r="U436" i="97" s="1"/>
  <c r="O314" i="97"/>
  <c r="U314" i="97" s="1"/>
  <c r="L70" i="92"/>
  <c r="AF359" i="97" s="1"/>
  <c r="O359" i="97"/>
  <c r="U359" i="97" s="1"/>
  <c r="L40" i="92"/>
  <c r="AF330" i="97" s="1"/>
  <c r="O330" i="97"/>
  <c r="U330" i="97" s="1"/>
  <c r="L119" i="92"/>
  <c r="AF395" i="97" s="1"/>
  <c r="O395" i="97"/>
  <c r="U395" i="97" s="1"/>
  <c r="AG395" i="97" s="1"/>
  <c r="L111" i="92"/>
  <c r="AF389" i="97" s="1"/>
  <c r="O465" i="97"/>
  <c r="U465" i="97" s="1"/>
  <c r="O389" i="97"/>
  <c r="U389" i="97" s="1"/>
  <c r="L93" i="92"/>
  <c r="AF378" i="97" s="1"/>
  <c r="O378" i="97"/>
  <c r="U378" i="97" s="1"/>
  <c r="L79" i="92"/>
  <c r="AF367" i="97" s="1"/>
  <c r="O367" i="97"/>
  <c r="U367" i="97" s="1"/>
  <c r="AG367" i="97" s="1"/>
  <c r="L73" i="92"/>
  <c r="AF361" i="97" s="1"/>
  <c r="O361" i="97"/>
  <c r="U361" i="97" s="1"/>
  <c r="AG361" i="97" s="1"/>
  <c r="L67" i="92"/>
  <c r="AF356" i="97" s="1"/>
  <c r="O356" i="97"/>
  <c r="U356" i="97" s="1"/>
  <c r="AG356" i="97" s="1"/>
  <c r="L61" i="92"/>
  <c r="AF350" i="97" s="1"/>
  <c r="O350" i="97"/>
  <c r="U350" i="97" s="1"/>
  <c r="AG350" i="97" s="1"/>
  <c r="L55" i="92"/>
  <c r="AF344" i="97" s="1"/>
  <c r="O344" i="97"/>
  <c r="U344" i="97" s="1"/>
  <c r="AG344" i="97" s="1"/>
  <c r="L49" i="92"/>
  <c r="AF339" i="97" s="1"/>
  <c r="O339" i="97"/>
  <c r="U339" i="97" s="1"/>
  <c r="AG339" i="97" s="1"/>
  <c r="L43" i="92"/>
  <c r="AF333" i="97" s="1"/>
  <c r="O451" i="97"/>
  <c r="U451" i="97" s="1"/>
  <c r="O333" i="97"/>
  <c r="U333" i="97" s="1"/>
  <c r="M37" i="92"/>
  <c r="AF447" i="97" s="1"/>
  <c r="O447" i="97"/>
  <c r="U447" i="97" s="1"/>
  <c r="O327" i="97"/>
  <c r="U327" i="97" s="1"/>
  <c r="L31" i="92"/>
  <c r="AF321" i="97" s="1"/>
  <c r="O443" i="97"/>
  <c r="U443" i="97" s="1"/>
  <c r="O321" i="97"/>
  <c r="U321" i="97" s="1"/>
  <c r="L25" i="92"/>
  <c r="AF315" i="97" s="1"/>
  <c r="O437" i="97"/>
  <c r="U437" i="97" s="1"/>
  <c r="O315" i="97"/>
  <c r="U315" i="97" s="1"/>
  <c r="M9" i="92"/>
  <c r="AF424" i="97" s="1"/>
  <c r="O424" i="97"/>
  <c r="U424" i="97" s="1"/>
  <c r="AG424" i="97" s="1"/>
  <c r="O302" i="97"/>
  <c r="U302" i="97" s="1"/>
  <c r="L90" i="92"/>
  <c r="AF375" i="97" s="1"/>
  <c r="O375" i="97"/>
  <c r="U375" i="97" s="1"/>
  <c r="L52" i="92"/>
  <c r="AF341" i="97" s="1"/>
  <c r="O458" i="97"/>
  <c r="U458" i="97" s="1"/>
  <c r="O341" i="97"/>
  <c r="U341" i="97" s="1"/>
  <c r="M12" i="92"/>
  <c r="AF427" i="97" s="1"/>
  <c r="O427" i="97"/>
  <c r="U427" i="97" s="1"/>
  <c r="O305" i="97"/>
  <c r="U305" i="97" s="1"/>
  <c r="M5" i="92"/>
  <c r="AF420" i="97" s="1"/>
  <c r="O420" i="97"/>
  <c r="U420" i="97" s="1"/>
  <c r="O298" i="97"/>
  <c r="U298" i="97" s="1"/>
  <c r="L116" i="92"/>
  <c r="AF393" i="97" s="1"/>
  <c r="O393" i="97"/>
  <c r="U393" i="97" s="1"/>
  <c r="AG393" i="97" s="1"/>
  <c r="L98" i="92"/>
  <c r="AF382" i="97" s="1"/>
  <c r="O382" i="97"/>
  <c r="U382" i="97" s="1"/>
  <c r="AG382" i="97" s="1"/>
  <c r="L92" i="92"/>
  <c r="AF377" i="97" s="1"/>
  <c r="O377" i="97"/>
  <c r="U377" i="97" s="1"/>
  <c r="AG377" i="97" s="1"/>
  <c r="L86" i="92"/>
  <c r="AF373" i="97" s="1"/>
  <c r="O373" i="97"/>
  <c r="U373" i="97" s="1"/>
  <c r="AG373" i="97" s="1"/>
  <c r="L78" i="92"/>
  <c r="Q78" i="92" s="1"/>
  <c r="O366" i="97"/>
  <c r="U366" i="97" s="1"/>
  <c r="L66" i="92"/>
  <c r="AF355" i="97" s="1"/>
  <c r="O355" i="97"/>
  <c r="U355" i="97" s="1"/>
  <c r="AG355" i="97" s="1"/>
  <c r="L60" i="92"/>
  <c r="AF349" i="97" s="1"/>
  <c r="O349" i="97"/>
  <c r="U349" i="97" s="1"/>
  <c r="L54" i="92"/>
  <c r="AF343" i="97" s="1"/>
  <c r="O460" i="97"/>
  <c r="U460" i="97" s="1"/>
  <c r="O343" i="97"/>
  <c r="U343" i="97" s="1"/>
  <c r="L48" i="92"/>
  <c r="AF338" i="97" s="1"/>
  <c r="O456" i="97"/>
  <c r="U456" i="97" s="1"/>
  <c r="O338" i="97"/>
  <c r="U338" i="97" s="1"/>
  <c r="M42" i="92"/>
  <c r="AF450" i="97" s="1"/>
  <c r="O450" i="97"/>
  <c r="U450" i="97" s="1"/>
  <c r="O332" i="97"/>
  <c r="U332" i="97" s="1"/>
  <c r="L36" i="92"/>
  <c r="AF326" i="97" s="1"/>
  <c r="O326" i="97"/>
  <c r="U326" i="97" s="1"/>
  <c r="M30" i="92"/>
  <c r="AF442" i="97" s="1"/>
  <c r="O442" i="97"/>
  <c r="U442" i="97" s="1"/>
  <c r="O320" i="97"/>
  <c r="U320" i="97" s="1"/>
  <c r="L14" i="92"/>
  <c r="AF307" i="97" s="1"/>
  <c r="O429" i="97"/>
  <c r="U429" i="97" s="1"/>
  <c r="O307" i="97"/>
  <c r="U307" i="97" s="1"/>
  <c r="L8" i="92"/>
  <c r="AF301" i="97" s="1"/>
  <c r="O423" i="97"/>
  <c r="U423" i="97" s="1"/>
  <c r="O301" i="97"/>
  <c r="U301" i="97" s="1"/>
  <c r="AG301" i="97" s="1"/>
  <c r="L20" i="92"/>
  <c r="AF312" i="97" s="1"/>
  <c r="O434" i="97"/>
  <c r="U434" i="97" s="1"/>
  <c r="O312" i="97"/>
  <c r="U312" i="97" s="1"/>
  <c r="L18" i="92"/>
  <c r="AF310" i="97" s="1"/>
  <c r="O432" i="97"/>
  <c r="U432" i="97" s="1"/>
  <c r="O310" i="97"/>
  <c r="U310" i="97" s="1"/>
  <c r="O95" i="92"/>
  <c r="O97" i="92"/>
  <c r="P94" i="92"/>
  <c r="P86" i="92"/>
  <c r="P80" i="92"/>
  <c r="P76" i="92"/>
  <c r="P72" i="92"/>
  <c r="P56" i="92"/>
  <c r="P36" i="92"/>
  <c r="P119" i="92"/>
  <c r="P114" i="92"/>
  <c r="P98" i="92"/>
  <c r="P89" i="92"/>
  <c r="P75" i="92"/>
  <c r="P67" i="92"/>
  <c r="P63" i="92"/>
  <c r="P59" i="92"/>
  <c r="P55" i="92"/>
  <c r="P120" i="92"/>
  <c r="P113" i="92"/>
  <c r="P66" i="92"/>
  <c r="P64" i="92"/>
  <c r="P116" i="92"/>
  <c r="P95" i="92"/>
  <c r="P91" i="92"/>
  <c r="P87" i="92"/>
  <c r="P77" i="92"/>
  <c r="O120" i="92"/>
  <c r="O68" i="92"/>
  <c r="O64" i="92"/>
  <c r="O76" i="92"/>
  <c r="O72" i="92"/>
  <c r="O114" i="92"/>
  <c r="O89" i="92"/>
  <c r="O67" i="92"/>
  <c r="O63" i="92"/>
  <c r="O75" i="92"/>
  <c r="T114" i="92"/>
  <c r="U114" i="92"/>
  <c r="R114" i="92"/>
  <c r="S114" i="92" s="1"/>
  <c r="T93" i="92"/>
  <c r="U93" i="92"/>
  <c r="R89" i="92"/>
  <c r="S89" i="92" s="1"/>
  <c r="T89" i="92"/>
  <c r="U89" i="92"/>
  <c r="R85" i="92"/>
  <c r="S85" i="92" s="1"/>
  <c r="R75" i="92"/>
  <c r="S75" i="92" s="1"/>
  <c r="T75" i="92"/>
  <c r="U75" i="92"/>
  <c r="R67" i="92"/>
  <c r="S67" i="92" s="1"/>
  <c r="T67" i="92"/>
  <c r="U67" i="92"/>
  <c r="R63" i="92"/>
  <c r="S63" i="92" s="1"/>
  <c r="T63" i="92"/>
  <c r="U63" i="92"/>
  <c r="U59" i="92"/>
  <c r="R55" i="92"/>
  <c r="S55" i="92" s="1"/>
  <c r="T55" i="92"/>
  <c r="U55" i="92"/>
  <c r="T39" i="92"/>
  <c r="R119" i="92"/>
  <c r="S119" i="92" s="1"/>
  <c r="T119" i="92"/>
  <c r="U119" i="92"/>
  <c r="T120" i="92"/>
  <c r="R120" i="92"/>
  <c r="S120" i="92" s="1"/>
  <c r="U120" i="92"/>
  <c r="T113" i="92"/>
  <c r="R113" i="92"/>
  <c r="S113" i="92" s="1"/>
  <c r="U113" i="92"/>
  <c r="T92" i="92"/>
  <c r="U92" i="92"/>
  <c r="U74" i="92"/>
  <c r="T70" i="92"/>
  <c r="T66" i="92"/>
  <c r="U66" i="92"/>
  <c r="R66" i="92"/>
  <c r="S66" i="92" s="1"/>
  <c r="R62" i="92"/>
  <c r="S62" i="92" s="1"/>
  <c r="H19" i="92"/>
  <c r="R116" i="92"/>
  <c r="S116" i="92" s="1"/>
  <c r="U116" i="92"/>
  <c r="R95" i="92"/>
  <c r="S95" i="92" s="1"/>
  <c r="T95" i="92"/>
  <c r="U95" i="92"/>
  <c r="R91" i="92"/>
  <c r="S91" i="92" s="1"/>
  <c r="T91" i="92"/>
  <c r="U91" i="92"/>
  <c r="R87" i="92"/>
  <c r="S87" i="92" s="1"/>
  <c r="T87" i="92"/>
  <c r="U87" i="92"/>
  <c r="R77" i="92"/>
  <c r="S77" i="92" s="1"/>
  <c r="T77" i="92"/>
  <c r="U77" i="92"/>
  <c r="U73" i="92"/>
  <c r="U69" i="92"/>
  <c r="R65" i="92"/>
  <c r="S65" i="92" s="1"/>
  <c r="U49" i="92"/>
  <c r="R49" i="92"/>
  <c r="S49" i="92" s="1"/>
  <c r="U97" i="92"/>
  <c r="R115" i="92"/>
  <c r="S115" i="92" s="1"/>
  <c r="U94" i="92"/>
  <c r="T94" i="92"/>
  <c r="R94" i="92"/>
  <c r="S94" i="92" s="1"/>
  <c r="R86" i="92"/>
  <c r="S86" i="92" s="1"/>
  <c r="T86" i="92"/>
  <c r="U86" i="92"/>
  <c r="R80" i="92"/>
  <c r="S80" i="92" s="1"/>
  <c r="T80" i="92"/>
  <c r="U80" i="92"/>
  <c r="R76" i="92"/>
  <c r="S76" i="92" s="1"/>
  <c r="T76" i="92"/>
  <c r="U76" i="92"/>
  <c r="R72" i="92"/>
  <c r="S72" i="92" s="1"/>
  <c r="T72" i="92"/>
  <c r="U72" i="92"/>
  <c r="R64" i="92"/>
  <c r="S64" i="92" s="1"/>
  <c r="T64" i="92"/>
  <c r="U64" i="92"/>
  <c r="R60" i="92"/>
  <c r="S60" i="92" s="1"/>
  <c r="T60" i="92"/>
  <c r="R56" i="92"/>
  <c r="S56" i="92" s="1"/>
  <c r="T56" i="92"/>
  <c r="U56" i="92"/>
  <c r="R36" i="92"/>
  <c r="S36" i="92" s="1"/>
  <c r="T36" i="92"/>
  <c r="U36" i="92"/>
  <c r="L19" i="92"/>
  <c r="AF311" i="97" s="1"/>
  <c r="Q114" i="92"/>
  <c r="Q98" i="92"/>
  <c r="Q93" i="92"/>
  <c r="Q89" i="92"/>
  <c r="Q55" i="92"/>
  <c r="Q120" i="92"/>
  <c r="Q113" i="92"/>
  <c r="Q92" i="92"/>
  <c r="Q74" i="92"/>
  <c r="Q70" i="92"/>
  <c r="Q66" i="92"/>
  <c r="Q75" i="92"/>
  <c r="Q67" i="92"/>
  <c r="Q63" i="92"/>
  <c r="Q59" i="92"/>
  <c r="Q95" i="92"/>
  <c r="Q91" i="92"/>
  <c r="Q87" i="92"/>
  <c r="Q77" i="92"/>
  <c r="Q73" i="92"/>
  <c r="Q61" i="92"/>
  <c r="Q49" i="92"/>
  <c r="O119" i="92"/>
  <c r="Q94" i="92"/>
  <c r="Q90" i="92"/>
  <c r="Q86" i="92"/>
  <c r="Q80" i="92"/>
  <c r="Q76" i="92"/>
  <c r="Q72" i="92"/>
  <c r="Q64" i="92"/>
  <c r="Q56" i="92"/>
  <c r="Q40" i="92"/>
  <c r="Q36" i="92"/>
  <c r="O77" i="92"/>
  <c r="O91" i="92"/>
  <c r="O113" i="92"/>
  <c r="O116" i="92"/>
  <c r="O94" i="92"/>
  <c r="O66" i="92"/>
  <c r="O93" i="92"/>
  <c r="O92" i="92"/>
  <c r="O65" i="92"/>
  <c r="J123" i="92"/>
  <c r="O49" i="92"/>
  <c r="O115" i="92"/>
  <c r="O73" i="92"/>
  <c r="O55" i="92"/>
  <c r="L6" i="92"/>
  <c r="L5" i="92"/>
  <c r="R5" i="92" s="1"/>
  <c r="Z246" i="97"/>
  <c r="Z136" i="97"/>
  <c r="G97" i="106"/>
  <c r="R111" i="106"/>
  <c r="G111" i="106" s="1"/>
  <c r="H120" i="106"/>
  <c r="R120" i="106" s="1"/>
  <c r="G120" i="106" s="1"/>
  <c r="G119" i="106" s="1"/>
  <c r="G116" i="106" s="1"/>
  <c r="L50" i="92"/>
  <c r="O50" i="92" s="1"/>
  <c r="M82" i="92"/>
  <c r="L112" i="92"/>
  <c r="M34" i="92"/>
  <c r="L30" i="92"/>
  <c r="M26" i="92"/>
  <c r="L81" i="92"/>
  <c r="AF369" i="97" s="1"/>
  <c r="L37" i="92"/>
  <c r="AF327" i="97" s="1"/>
  <c r="M43" i="92"/>
  <c r="L45" i="92"/>
  <c r="AF335" i="97" s="1"/>
  <c r="M47" i="92"/>
  <c r="L13" i="92"/>
  <c r="AF306" i="97" s="1"/>
  <c r="M53" i="92"/>
  <c r="L9" i="92"/>
  <c r="AF302" i="97" s="1"/>
  <c r="M8" i="92"/>
  <c r="L41" i="92"/>
  <c r="L38" i="92"/>
  <c r="M7" i="92"/>
  <c r="M33" i="92"/>
  <c r="M29" i="92"/>
  <c r="M25" i="92"/>
  <c r="M19" i="92"/>
  <c r="AF433" i="97" s="1"/>
  <c r="M44" i="92"/>
  <c r="M48" i="92"/>
  <c r="M54" i="92"/>
  <c r="L12" i="92"/>
  <c r="L42" i="92"/>
  <c r="M20" i="92"/>
  <c r="M14" i="92"/>
  <c r="M10" i="92"/>
  <c r="M32" i="92"/>
  <c r="M28" i="92"/>
  <c r="M24" i="92"/>
  <c r="O24" i="92" s="1"/>
  <c r="M18" i="92"/>
  <c r="M51" i="92"/>
  <c r="M57" i="92"/>
  <c r="L17" i="92"/>
  <c r="AF309" i="97" s="1"/>
  <c r="L11" i="92"/>
  <c r="AF304" i="97" s="1"/>
  <c r="M31" i="92"/>
  <c r="M27" i="92"/>
  <c r="M23" i="92"/>
  <c r="M46" i="92"/>
  <c r="M52" i="92"/>
  <c r="M58" i="92"/>
  <c r="M111" i="92"/>
  <c r="L122" i="92"/>
  <c r="Q122" i="92" s="1"/>
  <c r="K657" i="97"/>
  <c r="K656" i="97" s="1"/>
  <c r="I658" i="97"/>
  <c r="J656" i="97"/>
  <c r="H662" i="97"/>
  <c r="H656" i="97"/>
  <c r="E502" i="97"/>
  <c r="V502" i="97" s="1"/>
  <c r="J8" i="97"/>
  <c r="G55" i="23"/>
  <c r="G54" i="23"/>
  <c r="G40" i="23"/>
  <c r="T90" i="92" l="1"/>
  <c r="T97" i="92"/>
  <c r="T62" i="92"/>
  <c r="P40" i="92"/>
  <c r="O62" i="92"/>
  <c r="Q62" i="92"/>
  <c r="U71" i="92"/>
  <c r="O90" i="92"/>
  <c r="O71" i="92"/>
  <c r="O74" i="92"/>
  <c r="Q60" i="92"/>
  <c r="T40" i="92"/>
  <c r="U90" i="92"/>
  <c r="R97" i="92"/>
  <c r="S97" i="92" s="1"/>
  <c r="U61" i="92"/>
  <c r="T73" i="92"/>
  <c r="T116" i="92"/>
  <c r="U62" i="92"/>
  <c r="T78" i="92"/>
  <c r="R92" i="92"/>
  <c r="S92" i="92" s="1"/>
  <c r="R59" i="92"/>
  <c r="S59" i="92" s="1"/>
  <c r="T71" i="92"/>
  <c r="R93" i="92"/>
  <c r="S93" i="92" s="1"/>
  <c r="P49" i="92"/>
  <c r="P97" i="92"/>
  <c r="P78" i="92"/>
  <c r="P93" i="92"/>
  <c r="P60" i="92"/>
  <c r="AG310" i="97"/>
  <c r="AG346" i="97"/>
  <c r="AG364" i="97"/>
  <c r="O69" i="92"/>
  <c r="U40" i="92"/>
  <c r="R74" i="92"/>
  <c r="S74" i="92" s="1"/>
  <c r="T59" i="92"/>
  <c r="P74" i="92"/>
  <c r="Q97" i="92"/>
  <c r="Q116" i="92"/>
  <c r="Q71" i="92"/>
  <c r="R40" i="92"/>
  <c r="S40" i="92" s="1"/>
  <c r="U60" i="92"/>
  <c r="R90" i="92"/>
  <c r="S90" i="92" s="1"/>
  <c r="T49" i="92"/>
  <c r="R73" i="92"/>
  <c r="S73" i="92" s="1"/>
  <c r="T74" i="92"/>
  <c r="U78" i="92"/>
  <c r="R71" i="92"/>
  <c r="S71" i="92" s="1"/>
  <c r="T85" i="92"/>
  <c r="O59" i="92"/>
  <c r="O60" i="92"/>
  <c r="P73" i="92"/>
  <c r="P62" i="92"/>
  <c r="P92" i="92"/>
  <c r="P71" i="92"/>
  <c r="P90" i="92"/>
  <c r="AG314" i="97"/>
  <c r="AG351" i="97"/>
  <c r="AG323" i="97"/>
  <c r="AG358" i="97"/>
  <c r="AG318" i="97"/>
  <c r="AG300" i="97"/>
  <c r="AG428" i="97"/>
  <c r="AG442" i="97"/>
  <c r="O40" i="92"/>
  <c r="AG433" i="97"/>
  <c r="AG335" i="97"/>
  <c r="AG450" i="97"/>
  <c r="AG349" i="97"/>
  <c r="AG375" i="97"/>
  <c r="O80" i="92"/>
  <c r="AG363" i="97"/>
  <c r="AG376" i="97"/>
  <c r="AG392" i="97"/>
  <c r="AG378" i="97"/>
  <c r="O86" i="92"/>
  <c r="AG379" i="97"/>
  <c r="AG311" i="97"/>
  <c r="AG449" i="97"/>
  <c r="AG360" i="97"/>
  <c r="AG372" i="97"/>
  <c r="AG336" i="97"/>
  <c r="O25" i="92"/>
  <c r="AF437" i="97"/>
  <c r="AG420" i="97"/>
  <c r="U419" i="97"/>
  <c r="U28" i="92"/>
  <c r="AF440" i="97"/>
  <c r="O88" i="92"/>
  <c r="R39" i="92"/>
  <c r="S39" i="92" s="1"/>
  <c r="P88" i="92"/>
  <c r="AG440" i="97"/>
  <c r="P5" i="92"/>
  <c r="AF298" i="97"/>
  <c r="O57" i="92"/>
  <c r="AF461" i="97"/>
  <c r="R23" i="92"/>
  <c r="S23" i="92" s="1"/>
  <c r="AF436" i="97"/>
  <c r="O14" i="92"/>
  <c r="AF429" i="97"/>
  <c r="R27" i="92"/>
  <c r="S27" i="92" s="1"/>
  <c r="AF439" i="97"/>
  <c r="AG439" i="97" s="1"/>
  <c r="O18" i="92"/>
  <c r="AF432" i="97"/>
  <c r="AG432" i="97" s="1"/>
  <c r="O20" i="92"/>
  <c r="AF434" i="97"/>
  <c r="P41" i="92"/>
  <c r="AF331" i="97"/>
  <c r="AG331" i="97" s="1"/>
  <c r="P34" i="92"/>
  <c r="AF446" i="97"/>
  <c r="O39" i="92"/>
  <c r="O96" i="92"/>
  <c r="O61" i="92"/>
  <c r="Q96" i="92"/>
  <c r="U115" i="92"/>
  <c r="T65" i="92"/>
  <c r="U70" i="92"/>
  <c r="R78" i="92"/>
  <c r="S78" i="92" s="1"/>
  <c r="U39" i="92"/>
  <c r="U85" i="92"/>
  <c r="P69" i="92"/>
  <c r="P68" i="92"/>
  <c r="AG343" i="97"/>
  <c r="U297" i="97"/>
  <c r="AG298" i="97"/>
  <c r="AG341" i="97"/>
  <c r="AG302" i="97"/>
  <c r="AG321" i="97"/>
  <c r="AG333" i="97"/>
  <c r="AG359" i="97"/>
  <c r="Z361" i="97"/>
  <c r="AG357" i="97"/>
  <c r="AG374" i="97"/>
  <c r="AG317" i="97"/>
  <c r="AG329" i="97"/>
  <c r="AG463" i="97"/>
  <c r="AG380" i="97"/>
  <c r="AG306" i="97"/>
  <c r="AG325" i="97"/>
  <c r="O31" i="92"/>
  <c r="AF443" i="97"/>
  <c r="AG443" i="97" s="1"/>
  <c r="O8" i="92"/>
  <c r="AF423" i="97"/>
  <c r="O70" i="92"/>
  <c r="T42" i="92"/>
  <c r="AF332" i="97"/>
  <c r="AG332" i="97" s="1"/>
  <c r="P112" i="92"/>
  <c r="AF390" i="97"/>
  <c r="O12" i="92"/>
  <c r="AF305" i="97"/>
  <c r="AG305" i="97" s="1"/>
  <c r="P82" i="92"/>
  <c r="AF464" i="97"/>
  <c r="Q39" i="92"/>
  <c r="V39" i="92" s="1"/>
  <c r="T68" i="92"/>
  <c r="T61" i="92"/>
  <c r="T69" i="92"/>
  <c r="U88" i="92"/>
  <c r="U96" i="92"/>
  <c r="U35" i="92"/>
  <c r="U79" i="92"/>
  <c r="R98" i="92"/>
  <c r="S98" i="92" s="1"/>
  <c r="P39" i="92"/>
  <c r="AG338" i="97"/>
  <c r="AG315" i="97"/>
  <c r="AG327" i="97"/>
  <c r="AG436" i="97"/>
  <c r="AG448" i="97"/>
  <c r="O56" i="92"/>
  <c r="AF345" i="97"/>
  <c r="AG345" i="97" s="1"/>
  <c r="Q119" i="92"/>
  <c r="AG304" i="97"/>
  <c r="AG461" i="97"/>
  <c r="O111" i="92"/>
  <c r="AF465" i="97"/>
  <c r="AG465" i="97" s="1"/>
  <c r="R43" i="92"/>
  <c r="S43" i="92" s="1"/>
  <c r="AF451" i="97"/>
  <c r="AG451" i="97" s="1"/>
  <c r="R70" i="92"/>
  <c r="S70" i="92" s="1"/>
  <c r="P35" i="92"/>
  <c r="AG423" i="97"/>
  <c r="AG362" i="97"/>
  <c r="Z373" i="97"/>
  <c r="R52" i="92"/>
  <c r="AF458" i="97"/>
  <c r="AG458" i="97" s="1"/>
  <c r="O54" i="92"/>
  <c r="AF460" i="97"/>
  <c r="AG460" i="97" s="1"/>
  <c r="O79" i="92"/>
  <c r="Q115" i="92"/>
  <c r="O46" i="92"/>
  <c r="AF454" i="97"/>
  <c r="AG454" i="97" s="1"/>
  <c r="O10" i="92"/>
  <c r="AF425" i="97"/>
  <c r="AG425" i="97" s="1"/>
  <c r="P48" i="92"/>
  <c r="AF456" i="97"/>
  <c r="AG456" i="97" s="1"/>
  <c r="O7" i="92"/>
  <c r="AF422" i="97"/>
  <c r="O26" i="92"/>
  <c r="AF438" i="97"/>
  <c r="AG438" i="97" s="1"/>
  <c r="O6" i="92"/>
  <c r="AF299" i="97"/>
  <c r="AG299" i="97" s="1"/>
  <c r="O85" i="92"/>
  <c r="Q85" i="92"/>
  <c r="V85" i="92" s="1"/>
  <c r="Q69" i="92"/>
  <c r="Q88" i="92"/>
  <c r="R68" i="92"/>
  <c r="S68" i="92" s="1"/>
  <c r="R61" i="92"/>
  <c r="S61" i="92" s="1"/>
  <c r="R69" i="92"/>
  <c r="S69" i="92" s="1"/>
  <c r="T88" i="92"/>
  <c r="T96" i="92"/>
  <c r="T35" i="92"/>
  <c r="T79" i="92"/>
  <c r="U98" i="92"/>
  <c r="P61" i="92"/>
  <c r="P96" i="92"/>
  <c r="P79" i="92"/>
  <c r="P115" i="92"/>
  <c r="AG312" i="97"/>
  <c r="AG307" i="97"/>
  <c r="AG326" i="97"/>
  <c r="AG427" i="97"/>
  <c r="AG437" i="97"/>
  <c r="AG447" i="97"/>
  <c r="AG330" i="97"/>
  <c r="AG390" i="97"/>
  <c r="AG324" i="97"/>
  <c r="AG370" i="97"/>
  <c r="AG426" i="97"/>
  <c r="AG309" i="97"/>
  <c r="AG422" i="97"/>
  <c r="O58" i="92"/>
  <c r="AF462" i="97"/>
  <c r="AG462" i="97" s="1"/>
  <c r="P29" i="92"/>
  <c r="AF441" i="97"/>
  <c r="AG441" i="97" s="1"/>
  <c r="Q68" i="92"/>
  <c r="U68" i="92"/>
  <c r="O78" i="92"/>
  <c r="AF366" i="97"/>
  <c r="AG366" i="97" s="1"/>
  <c r="O32" i="92"/>
  <c r="AF444" i="97"/>
  <c r="AG444" i="97" s="1"/>
  <c r="O33" i="92"/>
  <c r="AF445" i="97"/>
  <c r="AG445" i="97" s="1"/>
  <c r="O53" i="92"/>
  <c r="AF459" i="97"/>
  <c r="AG459" i="97" s="1"/>
  <c r="Q65" i="92"/>
  <c r="P51" i="92"/>
  <c r="AF457" i="97"/>
  <c r="AG457" i="97" s="1"/>
  <c r="O44" i="92"/>
  <c r="AF452" i="97"/>
  <c r="AG452" i="97" s="1"/>
  <c r="O38" i="92"/>
  <c r="AF328" i="97"/>
  <c r="AG328" i="97" s="1"/>
  <c r="O47" i="92"/>
  <c r="AF455" i="97"/>
  <c r="AG455" i="97" s="1"/>
  <c r="O30" i="92"/>
  <c r="AF320" i="97"/>
  <c r="AG320" i="97" s="1"/>
  <c r="O35" i="92"/>
  <c r="J202" i="92"/>
  <c r="V246" i="97" s="1"/>
  <c r="O98" i="92"/>
  <c r="Q35" i="92"/>
  <c r="Q79" i="92"/>
  <c r="T115" i="92"/>
  <c r="U65" i="92"/>
  <c r="R88" i="92"/>
  <c r="S88" i="92" s="1"/>
  <c r="R96" i="92"/>
  <c r="S96" i="92" s="1"/>
  <c r="R35" i="92"/>
  <c r="S35" i="92" s="1"/>
  <c r="R79" i="92"/>
  <c r="S79" i="92" s="1"/>
  <c r="T98" i="92"/>
  <c r="P65" i="92"/>
  <c r="P70" i="92"/>
  <c r="P85" i="92"/>
  <c r="AG434" i="97"/>
  <c r="AG429" i="97"/>
  <c r="O36" i="92"/>
  <c r="AG389" i="97"/>
  <c r="AG303" i="97"/>
  <c r="AG322" i="97"/>
  <c r="AG334" i="97"/>
  <c r="AG466" i="97"/>
  <c r="AG446" i="97"/>
  <c r="Z446" i="97"/>
  <c r="AG464" i="97"/>
  <c r="AG340" i="97"/>
  <c r="AG352" i="97"/>
  <c r="AG369" i="97"/>
  <c r="AG431" i="97"/>
  <c r="AG337" i="97"/>
  <c r="AG348" i="97"/>
  <c r="AG365" i="97"/>
  <c r="AG381" i="97"/>
  <c r="O11" i="92"/>
  <c r="O17" i="92"/>
  <c r="O41" i="92"/>
  <c r="O13" i="92"/>
  <c r="U37" i="92"/>
  <c r="H123" i="92"/>
  <c r="O9" i="92"/>
  <c r="O45" i="92"/>
  <c r="O81" i="92"/>
  <c r="Q7" i="92"/>
  <c r="P11" i="92"/>
  <c r="P18" i="92"/>
  <c r="P32" i="92"/>
  <c r="I202" i="92"/>
  <c r="V136" i="97" s="1"/>
  <c r="P57" i="92"/>
  <c r="L123" i="92"/>
  <c r="L202" i="92" s="1"/>
  <c r="V297" i="97" s="1"/>
  <c r="S5" i="92"/>
  <c r="V5" i="92" s="1"/>
  <c r="P19" i="92"/>
  <c r="P17" i="92"/>
  <c r="P45" i="92"/>
  <c r="T7" i="92"/>
  <c r="P23" i="92"/>
  <c r="P122" i="92"/>
  <c r="P26" i="92"/>
  <c r="P42" i="92"/>
  <c r="P58" i="92"/>
  <c r="P8" i="92"/>
  <c r="P44" i="92"/>
  <c r="P14" i="92"/>
  <c r="P38" i="92"/>
  <c r="P54" i="92"/>
  <c r="P20" i="92"/>
  <c r="P33" i="92"/>
  <c r="P81" i="92"/>
  <c r="P7" i="92"/>
  <c r="P12" i="92"/>
  <c r="P30" i="92"/>
  <c r="P46" i="92"/>
  <c r="P25" i="92"/>
  <c r="P27" i="92"/>
  <c r="P43" i="92"/>
  <c r="P9" i="92"/>
  <c r="P111" i="92"/>
  <c r="P13" i="92"/>
  <c r="P37" i="92"/>
  <c r="P53" i="92"/>
  <c r="P6" i="92"/>
  <c r="P52" i="92"/>
  <c r="P24" i="92"/>
  <c r="P50" i="92"/>
  <c r="P28" i="92"/>
  <c r="P31" i="92"/>
  <c r="P47" i="92"/>
  <c r="P10" i="92"/>
  <c r="V62" i="92"/>
  <c r="V97" i="92"/>
  <c r="V114" i="92"/>
  <c r="V113" i="92"/>
  <c r="V60" i="92"/>
  <c r="V68" i="92"/>
  <c r="O19" i="92"/>
  <c r="V79" i="92"/>
  <c r="V87" i="92"/>
  <c r="V63" i="92"/>
  <c r="V86" i="92"/>
  <c r="V74" i="92"/>
  <c r="V36" i="92"/>
  <c r="V115" i="92"/>
  <c r="V69" i="92"/>
  <c r="V91" i="92"/>
  <c r="V78" i="92"/>
  <c r="V120" i="92"/>
  <c r="V59" i="92"/>
  <c r="V75" i="92"/>
  <c r="V93" i="92"/>
  <c r="V67" i="92"/>
  <c r="V89" i="92"/>
  <c r="V66" i="92"/>
  <c r="V90" i="92"/>
  <c r="V65" i="92"/>
  <c r="V55" i="92"/>
  <c r="V72" i="92"/>
  <c r="V95" i="92"/>
  <c r="V56" i="92"/>
  <c r="V77" i="92"/>
  <c r="V116" i="92"/>
  <c r="V71" i="92"/>
  <c r="V94" i="92"/>
  <c r="V64" i="92"/>
  <c r="U12" i="92"/>
  <c r="T28" i="92"/>
  <c r="R32" i="92"/>
  <c r="S32" i="92" s="1"/>
  <c r="T44" i="92"/>
  <c r="R48" i="92"/>
  <c r="R111" i="92"/>
  <c r="S111" i="92" s="1"/>
  <c r="U122" i="92"/>
  <c r="R10" i="92"/>
  <c r="S10" i="92" s="1"/>
  <c r="R20" i="92"/>
  <c r="S20" i="92" s="1"/>
  <c r="R14" i="92"/>
  <c r="S14" i="92" s="1"/>
  <c r="R29" i="92"/>
  <c r="S29" i="92" s="1"/>
  <c r="U33" i="92"/>
  <c r="T41" i="92"/>
  <c r="R45" i="92"/>
  <c r="S45" i="92" s="1"/>
  <c r="U57" i="92"/>
  <c r="R81" i="92"/>
  <c r="S81" i="92" s="1"/>
  <c r="T112" i="92"/>
  <c r="U7" i="92"/>
  <c r="R19" i="92"/>
  <c r="S19" i="92" s="1"/>
  <c r="T19" i="92"/>
  <c r="U19" i="92"/>
  <c r="U11" i="92"/>
  <c r="R26" i="92"/>
  <c r="S26" i="92" s="1"/>
  <c r="U30" i="92"/>
  <c r="T38" i="92"/>
  <c r="R42" i="92"/>
  <c r="S42" i="92" s="1"/>
  <c r="U46" i="92"/>
  <c r="U54" i="92"/>
  <c r="U58" i="92"/>
  <c r="T8" i="92"/>
  <c r="V119" i="92"/>
  <c r="R18" i="92"/>
  <c r="S18" i="92" s="1"/>
  <c r="U27" i="92"/>
  <c r="T31" i="92"/>
  <c r="U43" i="92"/>
  <c r="T47" i="92"/>
  <c r="R51" i="92"/>
  <c r="S51" i="92" s="1"/>
  <c r="V76" i="92"/>
  <c r="V49" i="92"/>
  <c r="V80" i="92"/>
  <c r="T17" i="92"/>
  <c r="U23" i="92"/>
  <c r="T12" i="92"/>
  <c r="R28" i="92"/>
  <c r="S28" i="92" s="1"/>
  <c r="R44" i="92"/>
  <c r="S44" i="92" s="1"/>
  <c r="U52" i="92"/>
  <c r="R122" i="92"/>
  <c r="U10" i="92"/>
  <c r="T13" i="92"/>
  <c r="T14" i="92"/>
  <c r="U29" i="92"/>
  <c r="T37" i="92"/>
  <c r="R41" i="92"/>
  <c r="S41" i="92" s="1"/>
  <c r="U45" i="92"/>
  <c r="U53" i="92"/>
  <c r="T57" i="92"/>
  <c r="U24" i="92"/>
  <c r="T11" i="92"/>
  <c r="U26" i="92"/>
  <c r="R34" i="92"/>
  <c r="S34" i="92" s="1"/>
  <c r="R38" i="92"/>
  <c r="S38" i="92" s="1"/>
  <c r="U42" i="92"/>
  <c r="R50" i="92"/>
  <c r="S50" i="92" s="1"/>
  <c r="T54" i="92"/>
  <c r="R58" i="92"/>
  <c r="S58" i="92" s="1"/>
  <c r="R82" i="92"/>
  <c r="S82" i="92" s="1"/>
  <c r="R8" i="92"/>
  <c r="S8" i="92" s="1"/>
  <c r="T25" i="92"/>
  <c r="T18" i="92"/>
  <c r="T27" i="92"/>
  <c r="R31" i="92"/>
  <c r="S31" i="92" s="1"/>
  <c r="T43" i="92"/>
  <c r="R47" i="92"/>
  <c r="S47" i="92" s="1"/>
  <c r="T9" i="92"/>
  <c r="R17" i="92"/>
  <c r="S17" i="92" s="1"/>
  <c r="T23" i="92"/>
  <c r="R12" i="92"/>
  <c r="S12" i="92" s="1"/>
  <c r="U32" i="92"/>
  <c r="U48" i="92"/>
  <c r="T52" i="92"/>
  <c r="T111" i="92"/>
  <c r="T122" i="92"/>
  <c r="U20" i="92"/>
  <c r="R13" i="92"/>
  <c r="S13" i="92" s="1"/>
  <c r="U14" i="92"/>
  <c r="T33" i="92"/>
  <c r="R37" i="92"/>
  <c r="S37" i="92" s="1"/>
  <c r="U41" i="92"/>
  <c r="T53" i="92"/>
  <c r="R57" i="92"/>
  <c r="U81" i="92"/>
  <c r="U112" i="92"/>
  <c r="R7" i="92"/>
  <c r="S7" i="92" s="1"/>
  <c r="T24" i="92"/>
  <c r="R11" i="92"/>
  <c r="S11" i="92" s="1"/>
  <c r="R30" i="92"/>
  <c r="S30" i="92" s="1"/>
  <c r="T34" i="92"/>
  <c r="U38" i="92"/>
  <c r="R46" i="92"/>
  <c r="S46" i="92" s="1"/>
  <c r="T50" i="92"/>
  <c r="R54" i="92"/>
  <c r="S54" i="92" s="1"/>
  <c r="U82" i="92"/>
  <c r="R25" i="92"/>
  <c r="S25" i="92" s="1"/>
  <c r="U18" i="92"/>
  <c r="U51" i="92"/>
  <c r="R9" i="92"/>
  <c r="S9" i="92" s="1"/>
  <c r="U17" i="92"/>
  <c r="T32" i="92"/>
  <c r="U44" i="92"/>
  <c r="T48" i="92"/>
  <c r="U111" i="92"/>
  <c r="T10" i="92"/>
  <c r="T20" i="92"/>
  <c r="U13" i="92"/>
  <c r="T29" i="92"/>
  <c r="R33" i="92"/>
  <c r="S33" i="92" s="1"/>
  <c r="T45" i="92"/>
  <c r="R53" i="92"/>
  <c r="S53" i="92" s="1"/>
  <c r="T81" i="92"/>
  <c r="R112" i="92"/>
  <c r="S112" i="92" s="1"/>
  <c r="R6" i="92"/>
  <c r="R24" i="92"/>
  <c r="S24" i="92" s="1"/>
  <c r="T26" i="92"/>
  <c r="T30" i="92"/>
  <c r="U34" i="92"/>
  <c r="T46" i="92"/>
  <c r="U50" i="92"/>
  <c r="T58" i="92"/>
  <c r="T82" i="92"/>
  <c r="U8" i="92"/>
  <c r="U25" i="92"/>
  <c r="U31" i="92"/>
  <c r="U47" i="92"/>
  <c r="T51" i="92"/>
  <c r="U9" i="92"/>
  <c r="O51" i="92"/>
  <c r="O34" i="92"/>
  <c r="Q28" i="92"/>
  <c r="Q10" i="92"/>
  <c r="Q44" i="92"/>
  <c r="Q20" i="92"/>
  <c r="Q26" i="92"/>
  <c r="Q58" i="92"/>
  <c r="Q8" i="92"/>
  <c r="Q13" i="92"/>
  <c r="Q37" i="92"/>
  <c r="Q18" i="92"/>
  <c r="O28" i="92"/>
  <c r="Q51" i="92"/>
  <c r="Q42" i="92"/>
  <c r="O43" i="92"/>
  <c r="O48" i="92"/>
  <c r="Q32" i="92"/>
  <c r="Q48" i="92"/>
  <c r="Q14" i="92"/>
  <c r="Q41" i="92"/>
  <c r="Q57" i="92"/>
  <c r="Q11" i="92"/>
  <c r="Q30" i="92"/>
  <c r="Q46" i="92"/>
  <c r="Q25" i="92"/>
  <c r="Q47" i="92"/>
  <c r="Q17" i="92"/>
  <c r="Q23" i="92"/>
  <c r="O27" i="92"/>
  <c r="O23" i="92"/>
  <c r="O52" i="92"/>
  <c r="O29" i="92"/>
  <c r="O42" i="92"/>
  <c r="Q52" i="92"/>
  <c r="Q111" i="92"/>
  <c r="Q29" i="92"/>
  <c r="Q45" i="92"/>
  <c r="Q112" i="92"/>
  <c r="Q27" i="92"/>
  <c r="Q19" i="92"/>
  <c r="Q34" i="92"/>
  <c r="Q50" i="92"/>
  <c r="Q82" i="92"/>
  <c r="Q53" i="92"/>
  <c r="Q43" i="92"/>
  <c r="O37" i="92"/>
  <c r="O112" i="92"/>
  <c r="Q12" i="92"/>
  <c r="Q9" i="92"/>
  <c r="Q33" i="92"/>
  <c r="Q81" i="92"/>
  <c r="Q24" i="92"/>
  <c r="Q38" i="92"/>
  <c r="Q54" i="92"/>
  <c r="Q31" i="92"/>
  <c r="M123" i="92"/>
  <c r="M202" i="92" s="1"/>
  <c r="O82" i="92"/>
  <c r="O5" i="92"/>
  <c r="O122" i="92"/>
  <c r="I657" i="97"/>
  <c r="I656" i="97" s="1"/>
  <c r="I654" i="97" s="1"/>
  <c r="E658" i="97"/>
  <c r="J7" i="97"/>
  <c r="J6" i="97" s="1"/>
  <c r="E21" i="117"/>
  <c r="E20" i="117" s="1"/>
  <c r="M14" i="119"/>
  <c r="N14" i="119" s="1"/>
  <c r="O14" i="119" s="1"/>
  <c r="L15" i="52"/>
  <c r="M15" i="52" s="1"/>
  <c r="N15" i="52" s="1"/>
  <c r="S48" i="92"/>
  <c r="S57" i="92"/>
  <c r="S52" i="92"/>
  <c r="F502" i="97"/>
  <c r="G502" i="97" s="1"/>
  <c r="I598" i="97"/>
  <c r="Z297" i="97"/>
  <c r="G5" i="106"/>
  <c r="G110" i="106"/>
  <c r="G107" i="106" s="1"/>
  <c r="G10" i="106"/>
  <c r="G44" i="23"/>
  <c r="G45" i="23"/>
  <c r="G41" i="23"/>
  <c r="G42" i="23"/>
  <c r="G43" i="23"/>
  <c r="G49" i="23"/>
  <c r="V73" i="92" l="1"/>
  <c r="V98" i="92"/>
  <c r="W5" i="92"/>
  <c r="V40" i="92"/>
  <c r="W40" i="92" s="1"/>
  <c r="V92" i="92"/>
  <c r="V35" i="92"/>
  <c r="V70" i="92"/>
  <c r="V88" i="92"/>
  <c r="W88" i="92" s="1"/>
  <c r="V61" i="92"/>
  <c r="H9" i="97"/>
  <c r="U135" i="97"/>
  <c r="Q123" i="92"/>
  <c r="V96" i="92"/>
  <c r="E9" i="97"/>
  <c r="H202" i="92"/>
  <c r="V9" i="97" s="1"/>
  <c r="V7" i="92"/>
  <c r="V28" i="92"/>
  <c r="W28" i="92" s="1"/>
  <c r="V37" i="92"/>
  <c r="W37" i="92" s="1"/>
  <c r="V53" i="92"/>
  <c r="W53" i="92" s="1"/>
  <c r="V58" i="92"/>
  <c r="W58" i="92" s="1"/>
  <c r="V26" i="92"/>
  <c r="V29" i="92"/>
  <c r="W29" i="92" s="1"/>
  <c r="V46" i="92"/>
  <c r="W46" i="92" s="1"/>
  <c r="V52" i="92"/>
  <c r="W52" i="92" s="1"/>
  <c r="V43" i="92"/>
  <c r="W43" i="92" s="1"/>
  <c r="O123" i="92"/>
  <c r="O125" i="92" s="1"/>
  <c r="H125" i="92" s="1"/>
  <c r="V34" i="92"/>
  <c r="W34" i="92" s="1"/>
  <c r="V51" i="92"/>
  <c r="W51" i="92" s="1"/>
  <c r="X51" i="92" s="1"/>
  <c r="V44" i="92"/>
  <c r="W44" i="92" s="1"/>
  <c r="V111" i="92"/>
  <c r="W111" i="92" s="1"/>
  <c r="V41" i="92"/>
  <c r="W41" i="92" s="1"/>
  <c r="V112" i="92"/>
  <c r="W112" i="92" s="1"/>
  <c r="V30" i="92"/>
  <c r="W30" i="92" s="1"/>
  <c r="V13" i="92"/>
  <c r="W13" i="92" s="1"/>
  <c r="V47" i="92"/>
  <c r="W47" i="92" s="1"/>
  <c r="V38" i="92"/>
  <c r="W38" i="92" s="1"/>
  <c r="V54" i="92"/>
  <c r="W54" i="92" s="1"/>
  <c r="V12" i="92"/>
  <c r="W12" i="92" s="1"/>
  <c r="V18" i="92"/>
  <c r="W18" i="92" s="1"/>
  <c r="V10" i="92"/>
  <c r="W10" i="92" s="1"/>
  <c r="V135" i="97"/>
  <c r="E30" i="23"/>
  <c r="E28" i="23" s="1"/>
  <c r="E20" i="119" s="1"/>
  <c r="F20" i="119" s="1"/>
  <c r="G20" i="119" s="1"/>
  <c r="V14" i="92"/>
  <c r="W14" i="92" s="1"/>
  <c r="V48" i="92"/>
  <c r="W48" i="92" s="1"/>
  <c r="V32" i="92"/>
  <c r="W32" i="92" s="1"/>
  <c r="V9" i="92"/>
  <c r="V27" i="92"/>
  <c r="W27" i="92" s="1"/>
  <c r="V17" i="92"/>
  <c r="W17" i="92" s="1"/>
  <c r="V8" i="92"/>
  <c r="V45" i="92"/>
  <c r="W45" i="92" s="1"/>
  <c r="V20" i="92"/>
  <c r="W20" i="92" s="1"/>
  <c r="V11" i="92"/>
  <c r="W11" i="92" s="1"/>
  <c r="V57" i="92"/>
  <c r="W57" i="92" s="1"/>
  <c r="V19" i="92"/>
  <c r="W19" i="92" s="1"/>
  <c r="V42" i="92"/>
  <c r="W42" i="92" s="1"/>
  <c r="V31" i="92"/>
  <c r="W31" i="92" s="1"/>
  <c r="V24" i="92"/>
  <c r="V82" i="92"/>
  <c r="W82" i="92" s="1"/>
  <c r="V25" i="92"/>
  <c r="W25" i="92" s="1"/>
  <c r="V81" i="92"/>
  <c r="W81" i="92" s="1"/>
  <c r="V33" i="92"/>
  <c r="W33" i="92" s="1"/>
  <c r="V23" i="92"/>
  <c r="W23" i="92" s="1"/>
  <c r="V50" i="92"/>
  <c r="W50" i="92" s="1"/>
  <c r="R123" i="92"/>
  <c r="V488" i="97" s="1"/>
  <c r="U123" i="92"/>
  <c r="V491" i="97" s="1"/>
  <c r="P123" i="92"/>
  <c r="P202" i="92" s="1"/>
  <c r="V482" i="97" s="1"/>
  <c r="S122" i="92"/>
  <c r="V122" i="92" s="1"/>
  <c r="W122" i="92" s="1"/>
  <c r="X121" i="92" s="1"/>
  <c r="Z445" i="97"/>
  <c r="F598" i="97"/>
  <c r="G598" i="97" s="1"/>
  <c r="F610" i="97"/>
  <c r="G610" i="97" s="1"/>
  <c r="M47" i="119"/>
  <c r="F658" i="97"/>
  <c r="G658" i="97" s="1"/>
  <c r="L48" i="52"/>
  <c r="E657" i="97"/>
  <c r="I653" i="97"/>
  <c r="I635" i="97" s="1"/>
  <c r="E654" i="97"/>
  <c r="M33" i="119"/>
  <c r="N33" i="119" s="1"/>
  <c r="O33" i="119" s="1"/>
  <c r="L34" i="52"/>
  <c r="T123" i="92"/>
  <c r="V490" i="97" s="1"/>
  <c r="S6" i="92"/>
  <c r="V6" i="92" s="1"/>
  <c r="G9" i="106"/>
  <c r="G6" i="106" s="1"/>
  <c r="R10" i="106"/>
  <c r="W49" i="92"/>
  <c r="W92" i="92"/>
  <c r="W85" i="92"/>
  <c r="W90" i="92"/>
  <c r="W115" i="92"/>
  <c r="W72" i="92"/>
  <c r="W77" i="92"/>
  <c r="W67" i="92"/>
  <c r="W35" i="92"/>
  <c r="W24" i="92"/>
  <c r="W59" i="92"/>
  <c r="W75" i="92"/>
  <c r="W74" i="92"/>
  <c r="W97" i="92"/>
  <c r="W89" i="92"/>
  <c r="W64" i="92"/>
  <c r="W36" i="92"/>
  <c r="W79" i="92"/>
  <c r="W91" i="92"/>
  <c r="W56" i="92"/>
  <c r="W76" i="92"/>
  <c r="W70" i="92"/>
  <c r="W78" i="92"/>
  <c r="W98" i="92"/>
  <c r="W94" i="92"/>
  <c r="W114" i="92"/>
  <c r="W96" i="92"/>
  <c r="W63" i="92"/>
  <c r="X63" i="92" s="1"/>
  <c r="W60" i="92"/>
  <c r="W55" i="92"/>
  <c r="W66" i="92"/>
  <c r="W26" i="92"/>
  <c r="W39" i="92"/>
  <c r="W80" i="92"/>
  <c r="W120" i="92"/>
  <c r="W87" i="92"/>
  <c r="W62" i="92"/>
  <c r="W119" i="92"/>
  <c r="W69" i="92"/>
  <c r="W71" i="92"/>
  <c r="W86" i="92"/>
  <c r="W68" i="92"/>
  <c r="W116" i="92"/>
  <c r="W95" i="92"/>
  <c r="W65" i="92"/>
  <c r="W73" i="92"/>
  <c r="W61" i="92"/>
  <c r="G9" i="23"/>
  <c r="G52" i="23"/>
  <c r="G51" i="23"/>
  <c r="G37" i="23"/>
  <c r="G38" i="23"/>
  <c r="X57" i="92" l="1"/>
  <c r="X49" i="92"/>
  <c r="X11" i="92"/>
  <c r="V487" i="97"/>
  <c r="Q202" i="92"/>
  <c r="M34" i="52"/>
  <c r="N34" i="52" s="1"/>
  <c r="L31" i="52"/>
  <c r="L10" i="52"/>
  <c r="M10" i="52" s="1"/>
  <c r="N10" i="52" s="1"/>
  <c r="F9" i="97"/>
  <c r="G9" i="97" s="1"/>
  <c r="M9" i="119"/>
  <c r="N9" i="119" s="1"/>
  <c r="O9" i="119" s="1"/>
  <c r="X73" i="92"/>
  <c r="X119" i="92"/>
  <c r="X91" i="92"/>
  <c r="X95" i="92"/>
  <c r="X87" i="92"/>
  <c r="X33" i="92"/>
  <c r="X69" i="92"/>
  <c r="X115" i="92"/>
  <c r="X81" i="92"/>
  <c r="X17" i="92"/>
  <c r="X65" i="92"/>
  <c r="X77" i="92"/>
  <c r="X19" i="92"/>
  <c r="X45" i="92"/>
  <c r="X13" i="92"/>
  <c r="X59" i="92"/>
  <c r="X85" i="92"/>
  <c r="X43" i="92"/>
  <c r="X71" i="92"/>
  <c r="X39" i="92"/>
  <c r="X89" i="92"/>
  <c r="X75" i="92"/>
  <c r="X35" i="92"/>
  <c r="X31" i="92"/>
  <c r="X61" i="92"/>
  <c r="X55" i="92"/>
  <c r="X79" i="92"/>
  <c r="X97" i="92"/>
  <c r="X67" i="92"/>
  <c r="X25" i="92"/>
  <c r="X27" i="92"/>
  <c r="X47" i="92"/>
  <c r="X41" i="92"/>
  <c r="X53" i="92"/>
  <c r="X23" i="92"/>
  <c r="X111" i="92"/>
  <c r="X29" i="92"/>
  <c r="X37" i="92"/>
  <c r="T202" i="92"/>
  <c r="O202" i="92"/>
  <c r="H135" i="97" s="1"/>
  <c r="O483" i="97" s="1"/>
  <c r="O487" i="97" s="1"/>
  <c r="U202" i="92"/>
  <c r="R202" i="92"/>
  <c r="Z135" i="97"/>
  <c r="V123" i="92"/>
  <c r="V202" i="92" s="1"/>
  <c r="S123" i="92"/>
  <c r="V489" i="97" s="1"/>
  <c r="F30" i="23"/>
  <c r="G30" i="23" s="1"/>
  <c r="E21" i="52"/>
  <c r="F21" i="52" s="1"/>
  <c r="G21" i="52" s="1"/>
  <c r="F28" i="23"/>
  <c r="G28" i="23" s="1"/>
  <c r="W9" i="92"/>
  <c r="X9" i="92" s="1"/>
  <c r="W8" i="92"/>
  <c r="W6" i="92"/>
  <c r="X5" i="92" s="1"/>
  <c r="W93" i="92"/>
  <c r="X93" i="92" s="1"/>
  <c r="E656" i="97"/>
  <c r="F656" i="97" s="1"/>
  <c r="G656" i="97" s="1"/>
  <c r="F657" i="97"/>
  <c r="G657" i="97" s="1"/>
  <c r="L47" i="52"/>
  <c r="L46" i="52" s="1"/>
  <c r="M48" i="52"/>
  <c r="N48" i="52" s="1"/>
  <c r="F654" i="97"/>
  <c r="G654" i="97" s="1"/>
  <c r="L45" i="52"/>
  <c r="L44" i="52" s="1"/>
  <c r="E653" i="97"/>
  <c r="F653" i="97" s="1"/>
  <c r="G653" i="97" s="1"/>
  <c r="M44" i="119"/>
  <c r="I615" i="97"/>
  <c r="E635" i="97"/>
  <c r="M46" i="119"/>
  <c r="N47" i="119"/>
  <c r="O47" i="119" s="1"/>
  <c r="K7" i="97"/>
  <c r="K6" i="97" s="1"/>
  <c r="E28" i="117"/>
  <c r="E27" i="117" s="1"/>
  <c r="W113" i="92"/>
  <c r="X113" i="92" s="1"/>
  <c r="G8" i="23"/>
  <c r="G7" i="23"/>
  <c r="U483" i="97" l="1"/>
  <c r="U482" i="97" s="1"/>
  <c r="W482" i="97" s="1"/>
  <c r="V486" i="97"/>
  <c r="O488" i="97"/>
  <c r="U488" i="97" s="1"/>
  <c r="W488" i="97" s="1"/>
  <c r="M31" i="52"/>
  <c r="N31" i="52" s="1"/>
  <c r="W135" i="97"/>
  <c r="AD519" i="97"/>
  <c r="E135" i="97"/>
  <c r="S202" i="92"/>
  <c r="M45" i="119"/>
  <c r="N45" i="119" s="1"/>
  <c r="O45" i="119" s="1"/>
  <c r="N46" i="119"/>
  <c r="O46" i="119" s="1"/>
  <c r="L39" i="52"/>
  <c r="L37" i="52" s="1"/>
  <c r="L30" i="52" s="1"/>
  <c r="F635" i="97"/>
  <c r="G635" i="97" s="1"/>
  <c r="M38" i="119"/>
  <c r="E615" i="97"/>
  <c r="E597" i="97" s="1"/>
  <c r="M45" i="52"/>
  <c r="N45" i="52" s="1"/>
  <c r="M44" i="52"/>
  <c r="N44" i="52" s="1"/>
  <c r="M47" i="52"/>
  <c r="N47" i="52" s="1"/>
  <c r="E19" i="117"/>
  <c r="E14" i="117" s="1"/>
  <c r="I597" i="97"/>
  <c r="I6" i="97" s="1"/>
  <c r="M43" i="119"/>
  <c r="N43" i="119" s="1"/>
  <c r="O43" i="119" s="1"/>
  <c r="N44" i="119"/>
  <c r="O44" i="119" s="1"/>
  <c r="W7" i="92"/>
  <c r="M30" i="52" l="1"/>
  <c r="N30" i="52" s="1"/>
  <c r="D18" i="90"/>
  <c r="L12" i="52"/>
  <c r="M12" i="52" s="1"/>
  <c r="N12" i="52" s="1"/>
  <c r="AD4" i="97"/>
  <c r="AD6" i="97"/>
  <c r="F135" i="97"/>
  <c r="G135" i="97" s="1"/>
  <c r="W123" i="92"/>
  <c r="W202" i="92" s="1"/>
  <c r="X7" i="92"/>
  <c r="X123" i="92" s="1"/>
  <c r="M11" i="119"/>
  <c r="N11" i="119" s="1"/>
  <c r="O11" i="119" s="1"/>
  <c r="W133" i="97"/>
  <c r="Z486" i="97"/>
  <c r="M46" i="52"/>
  <c r="N46" i="52" s="1"/>
  <c r="D19" i="90"/>
  <c r="F615" i="97"/>
  <c r="G615" i="97" s="1"/>
  <c r="F597" i="97"/>
  <c r="G597" i="97" s="1"/>
  <c r="M39" i="52"/>
  <c r="N39" i="52" s="1"/>
  <c r="N38" i="119"/>
  <c r="O38" i="119" s="1"/>
  <c r="M36" i="119"/>
  <c r="AD125" i="92" l="1"/>
  <c r="AD126" i="92" s="1"/>
  <c r="AD170" i="92" s="1"/>
  <c r="X125" i="92"/>
  <c r="O489" i="97"/>
  <c r="X202" i="92"/>
  <c r="H482" i="97"/>
  <c r="U489" i="97" l="1"/>
  <c r="W489" i="97" l="1"/>
  <c r="L53" i="102"/>
  <c r="M53" i="102" l="1"/>
  <c r="M52" i="102" s="1"/>
  <c r="L52" i="102"/>
  <c r="L51" i="102" s="1"/>
  <c r="N53" i="102" l="1"/>
  <c r="M51" i="102"/>
  <c r="N52" i="102" s="1"/>
  <c r="E20" i="102" l="1"/>
  <c r="F20" i="102" l="1"/>
  <c r="G20" i="102" l="1"/>
  <c r="L11" i="102" l="1"/>
  <c r="M11" i="102" s="1"/>
  <c r="N11" i="102" s="1"/>
  <c r="L9" i="102" l="1"/>
  <c r="M9" i="102" l="1"/>
  <c r="L12" i="102" l="1"/>
  <c r="N9" i="102"/>
  <c r="L13" i="102"/>
  <c r="M13" i="102" s="1"/>
  <c r="N13" i="102" s="1"/>
  <c r="M12" i="102" l="1"/>
  <c r="L8" i="102"/>
  <c r="L7" i="102" s="1"/>
  <c r="L6" i="102" l="1"/>
  <c r="M6" i="102" s="1"/>
  <c r="N6" i="102" s="1"/>
  <c r="E18" i="102"/>
  <c r="N12" i="102"/>
  <c r="M8" i="102"/>
  <c r="E19" i="102"/>
  <c r="F19" i="102" s="1"/>
  <c r="G19" i="102" s="1"/>
  <c r="N8" i="102" l="1"/>
  <c r="M7" i="102"/>
  <c r="N7" i="102" s="1"/>
  <c r="F18" i="102"/>
  <c r="E17" i="102"/>
  <c r="E16" i="102" s="1"/>
  <c r="E6" i="102" s="1"/>
  <c r="P6" i="102" s="1"/>
  <c r="E15" i="52" l="1"/>
  <c r="E14" i="52" s="1"/>
  <c r="F16" i="52"/>
  <c r="G18" i="102"/>
  <c r="F17" i="102"/>
  <c r="F15" i="52" l="1"/>
  <c r="F16" i="102"/>
  <c r="G17" i="102"/>
  <c r="F14" i="52" l="1"/>
  <c r="G16" i="102"/>
  <c r="F6" i="102"/>
  <c r="G6" i="102" s="1"/>
  <c r="Z482" i="97" l="1"/>
  <c r="E482" i="97"/>
  <c r="L13" i="52" l="1"/>
  <c r="F482" i="97"/>
  <c r="G482" i="97" s="1"/>
  <c r="M12" i="119"/>
  <c r="M13" i="52" l="1"/>
  <c r="N13" i="52" s="1"/>
  <c r="N12" i="119"/>
  <c r="O12" i="119" s="1"/>
  <c r="O282" i="97" l="1"/>
  <c r="O292" i="97"/>
  <c r="O290" i="97"/>
  <c r="O291" i="97"/>
  <c r="O295" i="97"/>
  <c r="O280" i="97"/>
  <c r="O265" i="97"/>
  <c r="O287" i="97"/>
  <c r="O283" i="97"/>
  <c r="O268" i="97"/>
  <c r="O251" i="97"/>
  <c r="O255" i="97"/>
  <c r="O249" i="97"/>
  <c r="O271" i="97"/>
  <c r="O261" i="97"/>
  <c r="O257" i="97"/>
  <c r="O286" i="97"/>
  <c r="O266" i="97"/>
  <c r="O272" i="97"/>
  <c r="O258" i="97"/>
  <c r="O248" i="97"/>
  <c r="O270" i="97"/>
  <c r="O260" i="97"/>
  <c r="O276" i="97"/>
  <c r="O278" i="97"/>
  <c r="O289" i="97"/>
  <c r="O293" i="97"/>
  <c r="O274" i="97"/>
  <c r="O252" i="97"/>
  <c r="O279" i="97"/>
  <c r="O288" i="97"/>
  <c r="O254" i="97"/>
  <c r="O264" i="97"/>
  <c r="O250" i="97"/>
  <c r="O285" i="97"/>
  <c r="O273" i="97"/>
  <c r="O247" i="97"/>
  <c r="O256" i="97"/>
  <c r="O296" i="97"/>
  <c r="O294" i="97"/>
  <c r="O269" i="97"/>
  <c r="O281" i="97"/>
  <c r="O267" i="97"/>
  <c r="O259" i="97"/>
  <c r="O284" i="97"/>
  <c r="O275" i="97"/>
  <c r="O262" i="97"/>
  <c r="O253" i="97"/>
  <c r="O263" i="97"/>
  <c r="O277" i="97"/>
  <c r="O490" i="97" l="1"/>
  <c r="U490" i="97" s="1"/>
  <c r="U487" i="97"/>
  <c r="W490" i="97" l="1"/>
  <c r="W487" i="97"/>
  <c r="O491" i="97"/>
  <c r="U491" i="97" s="1"/>
  <c r="W491" i="97" s="1"/>
  <c r="H486" i="97" l="1"/>
  <c r="E486" i="97" s="1"/>
  <c r="E8" i="97" s="1"/>
  <c r="E7" i="97" s="1"/>
  <c r="U486" i="97"/>
  <c r="U8" i="97" s="1"/>
  <c r="H8" i="97" l="1"/>
  <c r="H7" i="97" s="1"/>
  <c r="H6" i="97" s="1"/>
  <c r="E6" i="97" s="1"/>
  <c r="U7" i="97"/>
  <c r="U6" i="97" s="1"/>
  <c r="W486" i="97"/>
  <c r="F486" i="97"/>
  <c r="G486" i="97" s="1"/>
  <c r="L14" i="52"/>
  <c r="M13" i="119"/>
  <c r="E6" i="117" l="1"/>
  <c r="E5" i="117" s="1"/>
  <c r="D4" i="117" s="1"/>
  <c r="E19" i="23"/>
  <c r="F19" i="23" s="1"/>
  <c r="G19" i="23" s="1"/>
  <c r="E24" i="23"/>
  <c r="E23" i="23" s="1"/>
  <c r="F23" i="23" s="1"/>
  <c r="G23" i="23" s="1"/>
  <c r="N13" i="119"/>
  <c r="O13" i="119" s="1"/>
  <c r="M8" i="119"/>
  <c r="F8" i="97"/>
  <c r="G8" i="97" s="1"/>
  <c r="F7" i="97"/>
  <c r="G7" i="97" s="1"/>
  <c r="L9" i="52"/>
  <c r="L8" i="52" s="1"/>
  <c r="L7" i="52" s="1"/>
  <c r="M14" i="52"/>
  <c r="N14" i="52" s="1"/>
  <c r="F6" i="97"/>
  <c r="G6" i="97" s="1"/>
  <c r="E20" i="52" l="1"/>
  <c r="F20" i="52" s="1"/>
  <c r="G20" i="52" s="1"/>
  <c r="C7" i="117"/>
  <c r="E18" i="23"/>
  <c r="F18" i="23" s="1"/>
  <c r="G18" i="23" s="1"/>
  <c r="E19" i="119"/>
  <c r="F19" i="119" s="1"/>
  <c r="G19" i="119" s="1"/>
  <c r="M9" i="52"/>
  <c r="N9" i="52" s="1"/>
  <c r="N8" i="119"/>
  <c r="O8" i="119" s="1"/>
  <c r="M7" i="119"/>
  <c r="E17" i="23" l="1"/>
  <c r="E16" i="23" s="1"/>
  <c r="C6" i="117"/>
  <c r="C5" i="117" s="1"/>
  <c r="B4" i="117" s="1"/>
  <c r="E18" i="119"/>
  <c r="E19" i="52"/>
  <c r="M7" i="52"/>
  <c r="N7" i="52" s="1"/>
  <c r="M8" i="52"/>
  <c r="N8" i="52" s="1"/>
  <c r="D17" i="90"/>
  <c r="M6" i="119"/>
  <c r="N6" i="119" s="1"/>
  <c r="O6" i="119" s="1"/>
  <c r="N7" i="119"/>
  <c r="O7" i="119" s="1"/>
  <c r="E17" i="119" l="1"/>
  <c r="E16" i="119" s="1"/>
  <c r="E6" i="119" s="1"/>
  <c r="F18" i="119"/>
  <c r="F17" i="119" s="1"/>
  <c r="F17" i="23"/>
  <c r="G17" i="23" s="1"/>
  <c r="F19" i="52"/>
  <c r="F18" i="52" s="1"/>
  <c r="F17" i="52" s="1"/>
  <c r="F7" i="52" s="1"/>
  <c r="E18" i="52"/>
  <c r="E17" i="52" s="1"/>
  <c r="E7" i="52" s="1"/>
  <c r="E6" i="23"/>
  <c r="F16" i="23"/>
  <c r="G18" i="119" l="1"/>
  <c r="D12" i="90"/>
  <c r="G19" i="52"/>
  <c r="G18" i="52"/>
  <c r="F6" i="23"/>
  <c r="G6" i="23" s="1"/>
  <c r="G16" i="23"/>
  <c r="F16" i="119"/>
  <c r="F6" i="119" s="1"/>
  <c r="G17" i="119"/>
  <c r="D8" i="90"/>
  <c r="K6" i="23"/>
  <c r="V6" i="97"/>
  <c r="G16" i="119" l="1"/>
  <c r="G6" i="119"/>
  <c r="G17" i="52"/>
  <c r="G7" i="52"/>
  <c r="V557" i="97"/>
  <c r="O560" i="97"/>
  <c r="V564" i="97"/>
  <c r="O579" i="97"/>
</calcChain>
</file>

<file path=xl/comments1.xml><?xml version="1.0" encoding="utf-8"?>
<comments xmlns="http://schemas.openxmlformats.org/spreadsheetml/2006/main">
  <authors>
    <author>L.S.Y</author>
  </authors>
  <commentList>
    <comment ref="U44" authorId="0" shapeId="0">
      <text>
        <r>
          <rPr>
            <b/>
            <sz val="9"/>
            <color indexed="81"/>
            <rFont val="Tahoma"/>
            <family val="2"/>
          </rPr>
          <t>L.S.Y: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제세공과금중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화재보험료만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간접비</t>
        </r>
      </text>
    </comment>
  </commentList>
</comments>
</file>

<file path=xl/sharedStrings.xml><?xml version="1.0" encoding="utf-8"?>
<sst xmlns="http://schemas.openxmlformats.org/spreadsheetml/2006/main" count="5889" uniqueCount="1111">
  <si>
    <t>과                  목</t>
    <phoneticPr fontId="4" type="noConversion"/>
  </si>
  <si>
    <t>관</t>
    <phoneticPr fontId="4" type="noConversion"/>
  </si>
  <si>
    <t>항</t>
    <phoneticPr fontId="4" type="noConversion"/>
  </si>
  <si>
    <t>목</t>
    <phoneticPr fontId="4" type="noConversion"/>
  </si>
  <si>
    <t>합             계</t>
    <phoneticPr fontId="4" type="noConversion"/>
  </si>
  <si>
    <t>세                입</t>
    <phoneticPr fontId="4" type="noConversion"/>
  </si>
  <si>
    <t>세                출</t>
    <phoneticPr fontId="4" type="noConversion"/>
  </si>
  <si>
    <t xml:space="preserve"> 산   출   내   역</t>
    <phoneticPr fontId="4" type="noConversion"/>
  </si>
  <si>
    <t>산  출  내  역</t>
    <phoneticPr fontId="4" type="noConversion"/>
  </si>
  <si>
    <t>원</t>
    <phoneticPr fontId="7" type="noConversion"/>
  </si>
  <si>
    <t>(단위 : 원)</t>
    <phoneticPr fontId="4" type="noConversion"/>
  </si>
  <si>
    <t>목</t>
    <phoneticPr fontId="4" type="noConversion"/>
  </si>
  <si>
    <t>제2조</t>
    <phoneticPr fontId="7" type="noConversion"/>
  </si>
  <si>
    <t xml:space="preserve"> 세입세출 예산 총액은</t>
    <phoneticPr fontId="7" type="noConversion"/>
  </si>
  <si>
    <t>원으로,</t>
    <phoneticPr fontId="7" type="noConversion"/>
  </si>
  <si>
    <t xml:space="preserve"> 세입세출의 명세는 다음과 같다.</t>
    <phoneticPr fontId="7" type="noConversion"/>
  </si>
  <si>
    <t>1. 세입의 주요재원은 다음과 같다. (관 기준)</t>
    <phoneticPr fontId="7" type="noConversion"/>
  </si>
  <si>
    <t>3. 명시이월 사업은</t>
    <phoneticPr fontId="7" type="noConversion"/>
  </si>
  <si>
    <t>이며,  예산은</t>
    <phoneticPr fontId="7" type="noConversion"/>
  </si>
  <si>
    <t>원이다.</t>
    <phoneticPr fontId="7" type="noConversion"/>
  </si>
  <si>
    <t>제3조</t>
    <phoneticPr fontId="7" type="noConversion"/>
  </si>
  <si>
    <t>제4조</t>
    <phoneticPr fontId="7" type="noConversion"/>
  </si>
  <si>
    <t>법인이사회의 예산승인을 받기 전에 일반경비 및 긴급을 요하는 예산집행은 직전예산에 준하여</t>
    <phoneticPr fontId="7" type="noConversion"/>
  </si>
  <si>
    <t>지출할 수 있으며,  그 집행된 예산은 당해 연도의 확정예산에 의하여 집행된 것으로 간주한다.</t>
    <phoneticPr fontId="7" type="noConversion"/>
  </si>
  <si>
    <t>제5조</t>
    <phoneticPr fontId="7" type="noConversion"/>
  </si>
  <si>
    <t>각 계정과목 내의 항목의 예산집행은 당해 계정과목의 승인예산의 범위 내에서 항목간 예산을</t>
    <phoneticPr fontId="7" type="noConversion"/>
  </si>
  <si>
    <t>일부 조정하여 사용할 수 있다.</t>
    <phoneticPr fontId="7" type="noConversion"/>
  </si>
  <si>
    <t>제6조</t>
    <phoneticPr fontId="7" type="noConversion"/>
  </si>
  <si>
    <t>제7조</t>
    <phoneticPr fontId="7" type="noConversion"/>
  </si>
  <si>
    <t>국가 또는 지방자치단체로부터 교부된 보조금 및 지정후원금, 수익자부담 경비 등은</t>
    <phoneticPr fontId="7" type="noConversion"/>
  </si>
  <si>
    <t>추가경정예산의 성립 이전이라도  보조 및 후원 목적에 적절한 경우  먼저 사용할 수 있으며,</t>
    <phoneticPr fontId="7" type="noConversion"/>
  </si>
  <si>
    <t>이는 반드시 차기 추가경정예산에 반영하여야 한다.</t>
    <phoneticPr fontId="7" type="noConversion"/>
  </si>
  <si>
    <t>제8조</t>
    <phoneticPr fontId="7" type="noConversion"/>
  </si>
  <si>
    <t>제9조</t>
    <phoneticPr fontId="7" type="noConversion"/>
  </si>
  <si>
    <t>국가, 지방자치단체 및 사회복지기금 등에서 공모사업 선정으로 받은 보조금은 사회복지법인</t>
    <phoneticPr fontId="7" type="noConversion"/>
  </si>
  <si>
    <t>(만약, 지정후원금 또는 별도 사업비 편성이 용이하다는 지차체의 증빙자료(공문)가 있을시에만</t>
    <phoneticPr fontId="7" type="noConversion"/>
  </si>
  <si>
    <t xml:space="preserve"> 별도 편성 가능)</t>
    <phoneticPr fontId="7" type="noConversion"/>
  </si>
  <si>
    <t>2. 세출의 내용은 다음과 같다. (관 또는 항기준)</t>
    <phoneticPr fontId="7" type="noConversion"/>
  </si>
  <si>
    <t>기타 회계 관련 규정의 개정으로 예산과목이 변경된 경우에는 당해연도 변경된 과목으로 승인</t>
    <phoneticPr fontId="7" type="noConversion"/>
  </si>
  <si>
    <t xml:space="preserve"> 및 사회복지시설 재무회계규칙에 따라 기타보조금에 편성되어야 한다.</t>
    <phoneticPr fontId="7" type="noConversion"/>
  </si>
  <si>
    <t>된 것으로 하며,  그 외의  예산총칙에 명시되지 아니한 사항은 「사회복지법인</t>
    <phoneticPr fontId="7" type="noConversion"/>
  </si>
  <si>
    <t xml:space="preserve">4. 신설사업은  </t>
    <phoneticPr fontId="7" type="noConversion"/>
  </si>
  <si>
    <t xml:space="preserve"> 사회복지법인 및 사회복지시설 재무회계규칙 제9조 1항에 의한다.</t>
  </si>
  <si>
    <t>및 사회복지시설  재무회계규칙」에 따라 집행한다.</t>
    <phoneticPr fontId="7" type="noConversion"/>
  </si>
  <si>
    <t>제1조</t>
    <phoneticPr fontId="7" type="noConversion"/>
  </si>
  <si>
    <t>증감사유</t>
    <phoneticPr fontId="7" type="noConversion"/>
  </si>
  <si>
    <t>가. 예  산   총  칙</t>
    <phoneticPr fontId="7" type="noConversion"/>
  </si>
  <si>
    <t>순번</t>
    <phoneticPr fontId="4" type="noConversion"/>
  </si>
  <si>
    <t>직책</t>
    <phoneticPr fontId="4" type="noConversion"/>
  </si>
  <si>
    <t>호봉</t>
    <phoneticPr fontId="4" type="noConversion"/>
  </si>
  <si>
    <t>비고</t>
    <phoneticPr fontId="4" type="noConversion"/>
  </si>
  <si>
    <t>합 계</t>
    <phoneticPr fontId="4" type="noConversion"/>
  </si>
  <si>
    <t>※ 보건복지가족부 0000년 00000 종사자 보수지급기준표 적용.</t>
    <phoneticPr fontId="17" type="noConversion"/>
  </si>
  <si>
    <t xml:space="preserve">  나.  세입.세출 총괄표</t>
    <phoneticPr fontId="4" type="noConversion"/>
  </si>
  <si>
    <t>퇴직금 및 
퇴직적립금</t>
    <phoneticPr fontId="7" type="noConversion"/>
  </si>
  <si>
    <t>사회보험부담금</t>
    <phoneticPr fontId="7" type="noConversion"/>
  </si>
  <si>
    <t>본예산(안)은 법인 이사회의 승인을 얻어 확정한다.</t>
    <phoneticPr fontId="7" type="noConversion"/>
  </si>
  <si>
    <t>증감율(%)
(C/A*100)</t>
    <phoneticPr fontId="4" type="noConversion"/>
  </si>
  <si>
    <t>증감금액
(C=B-A)</t>
    <phoneticPr fontId="4" type="noConversion"/>
  </si>
  <si>
    <t>증감금액
(C=B-A)</t>
    <phoneticPr fontId="4" type="noConversion"/>
  </si>
  <si>
    <t>증감율(%)
(C/A*100)</t>
    <phoneticPr fontId="4" type="noConversion"/>
  </si>
  <si>
    <t>라.  세출내역서</t>
    <phoneticPr fontId="4" type="noConversion"/>
  </si>
  <si>
    <t>다.  세입내역서</t>
    <phoneticPr fontId="4" type="noConversion"/>
  </si>
  <si>
    <t>제수당</t>
    <phoneticPr fontId="4" type="noConversion"/>
  </si>
  <si>
    <t>제수당 계</t>
    <phoneticPr fontId="4" type="noConversion"/>
  </si>
  <si>
    <t>사. 임직원 보수 일람표</t>
    <phoneticPr fontId="4" type="noConversion"/>
  </si>
  <si>
    <t>00수당</t>
    <phoneticPr fontId="7" type="noConversion"/>
  </si>
  <si>
    <t>00수당</t>
    <phoneticPr fontId="4" type="noConversion"/>
  </si>
  <si>
    <t>총합계</t>
    <phoneticPr fontId="4" type="noConversion"/>
  </si>
  <si>
    <t>지자체 별도 지급액</t>
    <phoneticPr fontId="7" type="noConversion"/>
  </si>
  <si>
    <t>지자체 지급액 계</t>
    <phoneticPr fontId="7" type="noConversion"/>
  </si>
  <si>
    <t>「사회복지법인 및 사회복지시설 재무회계규칙」 제16조에 의거하여 예산을 전용할 수 있다.</t>
    <phoneticPr fontId="7" type="noConversion"/>
  </si>
  <si>
    <t>합계</t>
    <phoneticPr fontId="4" type="noConversion"/>
  </si>
  <si>
    <t>성명</t>
    <phoneticPr fontId="7" type="noConversion"/>
  </si>
  <si>
    <t>성명</t>
    <phoneticPr fontId="7" type="noConversion"/>
  </si>
  <si>
    <t>급여</t>
    <phoneticPr fontId="4" type="noConversion"/>
  </si>
  <si>
    <t>급여</t>
    <phoneticPr fontId="4" type="noConversion"/>
  </si>
  <si>
    <t xml:space="preserve">   7) </t>
    <phoneticPr fontId="7" type="noConversion"/>
  </si>
  <si>
    <t xml:space="preserve">   5) </t>
    <phoneticPr fontId="7" type="noConversion"/>
  </si>
  <si>
    <t xml:space="preserve">   3) </t>
    <phoneticPr fontId="7" type="noConversion"/>
  </si>
  <si>
    <t xml:space="preserve">   1)</t>
    <phoneticPr fontId="7" type="noConversion"/>
  </si>
  <si>
    <t xml:space="preserve">   1) </t>
    <phoneticPr fontId="7" type="noConversion"/>
  </si>
  <si>
    <t xml:space="preserve">2) </t>
    <phoneticPr fontId="7" type="noConversion"/>
  </si>
  <si>
    <t xml:space="preserve">4) </t>
    <phoneticPr fontId="7" type="noConversion"/>
  </si>
  <si>
    <t xml:space="preserve">6) </t>
    <phoneticPr fontId="7" type="noConversion"/>
  </si>
  <si>
    <t xml:space="preserve">8) </t>
    <phoneticPr fontId="7" type="noConversion"/>
  </si>
  <si>
    <t>재원</t>
    <phoneticPr fontId="4" type="noConversion"/>
  </si>
  <si>
    <t>단, 관·항간 예산을 전용 할 경우 법인 이사회의 의결을 거쳐야 한다.</t>
    <phoneticPr fontId="7" type="noConversion"/>
  </si>
  <si>
    <t>보조금</t>
    <phoneticPr fontId="7" type="noConversion"/>
  </si>
  <si>
    <t>법인전입금</t>
    <phoneticPr fontId="7" type="noConversion"/>
  </si>
  <si>
    <t>자부담</t>
    <phoneticPr fontId="7" type="noConversion"/>
  </si>
  <si>
    <t>입소자부담금</t>
  </si>
  <si>
    <t>계</t>
  </si>
  <si>
    <t>입소비용수입</t>
  </si>
  <si>
    <t>소계</t>
  </si>
  <si>
    <t>사업수입</t>
  </si>
  <si>
    <t>프로그램사업수입</t>
  </si>
  <si>
    <t>과년도수입</t>
  </si>
  <si>
    <t>보조금수입</t>
  </si>
  <si>
    <t>후원금</t>
  </si>
  <si>
    <t>후원금수입</t>
  </si>
  <si>
    <t>지정후원금</t>
  </si>
  <si>
    <t>비지정후원금</t>
  </si>
  <si>
    <t>전입금</t>
  </si>
  <si>
    <t>법인전입금</t>
  </si>
  <si>
    <t>이월금</t>
  </si>
  <si>
    <t>이월사업비</t>
  </si>
  <si>
    <t>잡수입</t>
  </si>
  <si>
    <t>불용품매각대</t>
  </si>
  <si>
    <t>기타예금이자수입</t>
  </si>
  <si>
    <t>기타잡수입</t>
  </si>
  <si>
    <t>사무비</t>
  </si>
  <si>
    <t>인건비</t>
  </si>
  <si>
    <t>급여</t>
  </si>
  <si>
    <t>제수당</t>
  </si>
  <si>
    <t>퇴직금및퇴직적립금</t>
  </si>
  <si>
    <t>사회보험부담비용</t>
  </si>
  <si>
    <t>기타후생경비</t>
  </si>
  <si>
    <t>업무추진비</t>
  </si>
  <si>
    <t>회의비</t>
  </si>
  <si>
    <t>운영비</t>
  </si>
  <si>
    <t>여비</t>
  </si>
  <si>
    <t>수용비및수수료</t>
  </si>
  <si>
    <t>공공요금</t>
  </si>
  <si>
    <t>제세공과금</t>
  </si>
  <si>
    <t>차량비</t>
  </si>
  <si>
    <t>기타운영비</t>
  </si>
  <si>
    <t>재산조성비</t>
  </si>
  <si>
    <t>시설비</t>
  </si>
  <si>
    <t>자산취득비</t>
  </si>
  <si>
    <t>시설장비유지비</t>
  </si>
  <si>
    <t>사업비</t>
  </si>
  <si>
    <t>생계비</t>
  </si>
  <si>
    <t>수용기관경비</t>
  </si>
  <si>
    <t>피복비</t>
  </si>
  <si>
    <t>의료비</t>
  </si>
  <si>
    <t>연료비</t>
  </si>
  <si>
    <t>환경개선사업</t>
  </si>
  <si>
    <t>잡지출</t>
  </si>
  <si>
    <t>예비비및기타</t>
  </si>
  <si>
    <t>원</t>
  </si>
  <si>
    <t>×</t>
  </si>
  <si>
    <t xml:space="preserve">본 예산(안)은 사회복지법인 천주교 수원교구 사회복지회 소속 장애인거주시설 '둘다섯해누리'의 </t>
    <phoneticPr fontId="7" type="noConversion"/>
  </si>
  <si>
    <t>2020년도(2020.01.01 ~ 2020.12.31) 예산으로</t>
    <phoneticPr fontId="7" type="noConversion"/>
  </si>
  <si>
    <t>입소자부담금</t>
    <phoneticPr fontId="7" type="noConversion"/>
  </si>
  <si>
    <t>사업수입</t>
    <phoneticPr fontId="7" type="noConversion"/>
  </si>
  <si>
    <t>보조금수입</t>
    <phoneticPr fontId="7" type="noConversion"/>
  </si>
  <si>
    <t>후원금수입</t>
    <phoneticPr fontId="7" type="noConversion"/>
  </si>
  <si>
    <t>차입금</t>
    <phoneticPr fontId="7" type="noConversion"/>
  </si>
  <si>
    <t>전입금</t>
    <phoneticPr fontId="7" type="noConversion"/>
  </si>
  <si>
    <t>이월금</t>
    <phoneticPr fontId="7" type="noConversion"/>
  </si>
  <si>
    <t>잡수입</t>
    <phoneticPr fontId="7" type="noConversion"/>
  </si>
  <si>
    <t>사무비</t>
    <phoneticPr fontId="7" type="noConversion"/>
  </si>
  <si>
    <t>재산조성비</t>
    <phoneticPr fontId="7" type="noConversion"/>
  </si>
  <si>
    <t>사업비</t>
    <phoneticPr fontId="7" type="noConversion"/>
  </si>
  <si>
    <t>잡지출</t>
    <phoneticPr fontId="7" type="noConversion"/>
  </si>
  <si>
    <t>과년도지출</t>
    <phoneticPr fontId="7" type="noConversion"/>
  </si>
  <si>
    <t>예비비및기타</t>
    <phoneticPr fontId="7" type="noConversion"/>
  </si>
  <si>
    <t>①중증장애인의 직업능력개발을 위한 목공프로그램 “우드잡 woodjob”이며 예산은</t>
    <phoneticPr fontId="4" type="noConversion"/>
  </si>
  <si>
    <t xml:space="preserve">②기능보강사업 1 : 거주시설 공기청정기렌탈지원 사업으로 예산은 </t>
    <phoneticPr fontId="4" type="noConversion"/>
  </si>
  <si>
    <t xml:space="preserve">③기능보강사업 2 : 코로나19예방 방역 사업으로 예산은 </t>
    <phoneticPr fontId="4" type="noConversion"/>
  </si>
  <si>
    <t>시설장</t>
    <phoneticPr fontId="7" type="noConversion"/>
  </si>
  <si>
    <t>이기수</t>
    <phoneticPr fontId="7" type="noConversion"/>
  </si>
  <si>
    <t>13</t>
    <phoneticPr fontId="7" type="noConversion"/>
  </si>
  <si>
    <t>14</t>
    <phoneticPr fontId="7" type="noConversion"/>
  </si>
  <si>
    <t>가족수당</t>
    <phoneticPr fontId="7" type="noConversion"/>
  </si>
  <si>
    <t>연장수당</t>
    <phoneticPr fontId="4" type="noConversion"/>
  </si>
  <si>
    <t>연장추가
지원수당</t>
    <phoneticPr fontId="7" type="noConversion"/>
  </si>
  <si>
    <t>국민연금</t>
    <phoneticPr fontId="7" type="noConversion"/>
  </si>
  <si>
    <t>건강보험</t>
    <phoneticPr fontId="7" type="noConversion"/>
  </si>
  <si>
    <t>고용보험</t>
    <phoneticPr fontId="7" type="noConversion"/>
  </si>
  <si>
    <t>산재보험</t>
    <phoneticPr fontId="7" type="noConversion"/>
  </si>
  <si>
    <t>장기요양</t>
    <phoneticPr fontId="7" type="noConversion"/>
  </si>
  <si>
    <t>기본급</t>
    <phoneticPr fontId="7" type="noConversion"/>
  </si>
  <si>
    <t>사무국장</t>
    <phoneticPr fontId="7" type="noConversion"/>
  </si>
  <si>
    <t>금형민</t>
    <phoneticPr fontId="7" type="noConversion"/>
  </si>
  <si>
    <t>18</t>
    <phoneticPr fontId="7" type="noConversion"/>
  </si>
  <si>
    <t>19</t>
    <phoneticPr fontId="7" type="noConversion"/>
  </si>
  <si>
    <t>시급</t>
    <phoneticPr fontId="7" type="noConversion"/>
  </si>
  <si>
    <t>승급월</t>
    <phoneticPr fontId="7" type="noConversion"/>
  </si>
  <si>
    <t>공제액계</t>
    <phoneticPr fontId="7" type="noConversion"/>
  </si>
  <si>
    <t>상담평가원
(과장)</t>
    <phoneticPr fontId="7" type="noConversion"/>
  </si>
  <si>
    <t>김정윤</t>
    <phoneticPr fontId="7" type="noConversion"/>
  </si>
  <si>
    <t>16</t>
    <phoneticPr fontId="7" type="noConversion"/>
  </si>
  <si>
    <t>17</t>
    <phoneticPr fontId="7" type="noConversion"/>
  </si>
  <si>
    <t>사회재활
교사(과장)</t>
    <phoneticPr fontId="7" type="noConversion"/>
  </si>
  <si>
    <t>이성수</t>
    <phoneticPr fontId="7" type="noConversion"/>
  </si>
  <si>
    <t>영양사
(팀장)</t>
    <phoneticPr fontId="7" type="noConversion"/>
  </si>
  <si>
    <t>김혜영</t>
    <phoneticPr fontId="7" type="noConversion"/>
  </si>
  <si>
    <t>23</t>
    <phoneticPr fontId="7" type="noConversion"/>
  </si>
  <si>
    <t>24</t>
    <phoneticPr fontId="7" type="noConversion"/>
  </si>
  <si>
    <t>간호사
(팀장)</t>
    <phoneticPr fontId="7" type="noConversion"/>
  </si>
  <si>
    <t>전광숙</t>
    <phoneticPr fontId="7" type="noConversion"/>
  </si>
  <si>
    <t>간호사</t>
    <phoneticPr fontId="7" type="noConversion"/>
  </si>
  <si>
    <t>언어치료사</t>
    <phoneticPr fontId="7" type="noConversion"/>
  </si>
  <si>
    <t>최민성</t>
    <phoneticPr fontId="7" type="noConversion"/>
  </si>
  <si>
    <t>11</t>
    <phoneticPr fontId="7" type="noConversion"/>
  </si>
  <si>
    <t>12</t>
    <phoneticPr fontId="7" type="noConversion"/>
  </si>
  <si>
    <t>작업치료사</t>
    <phoneticPr fontId="7" type="noConversion"/>
  </si>
  <si>
    <t>이동철</t>
    <phoneticPr fontId="7" type="noConversion"/>
  </si>
  <si>
    <t>5</t>
    <phoneticPr fontId="7" type="noConversion"/>
  </si>
  <si>
    <t>6</t>
    <phoneticPr fontId="7" type="noConversion"/>
  </si>
  <si>
    <t>선임지도원
(팀장)</t>
    <phoneticPr fontId="7" type="noConversion"/>
  </si>
  <si>
    <t>이선이</t>
    <phoneticPr fontId="7" type="noConversion"/>
  </si>
  <si>
    <t>물리치료사</t>
    <phoneticPr fontId="7" type="noConversion"/>
  </si>
  <si>
    <t>김효선</t>
    <phoneticPr fontId="7" type="noConversion"/>
  </si>
  <si>
    <t>15</t>
    <phoneticPr fontId="7" type="noConversion"/>
  </si>
  <si>
    <t>심영은</t>
    <phoneticPr fontId="7" type="noConversion"/>
  </si>
  <si>
    <t>사무원</t>
    <phoneticPr fontId="7" type="noConversion"/>
  </si>
  <si>
    <t>유준</t>
    <phoneticPr fontId="7" type="noConversion"/>
  </si>
  <si>
    <t>생활지도원</t>
    <phoneticPr fontId="7" type="noConversion"/>
  </si>
  <si>
    <t>신희철</t>
    <phoneticPr fontId="7" type="noConversion"/>
  </si>
  <si>
    <t>홍은향</t>
    <phoneticPr fontId="7" type="noConversion"/>
  </si>
  <si>
    <t>이도란</t>
    <phoneticPr fontId="7" type="noConversion"/>
  </si>
  <si>
    <t>4</t>
    <phoneticPr fontId="7" type="noConversion"/>
  </si>
  <si>
    <t>8</t>
    <phoneticPr fontId="7" type="noConversion"/>
  </si>
  <si>
    <t>윤용진</t>
    <phoneticPr fontId="7" type="noConversion"/>
  </si>
  <si>
    <t>김종민</t>
    <phoneticPr fontId="7" type="noConversion"/>
  </si>
  <si>
    <t>권구철</t>
    <phoneticPr fontId="7" type="noConversion"/>
  </si>
  <si>
    <t>김유경</t>
    <phoneticPr fontId="7" type="noConversion"/>
  </si>
  <si>
    <t>9</t>
    <phoneticPr fontId="7" type="noConversion"/>
  </si>
  <si>
    <t>10</t>
    <phoneticPr fontId="7" type="noConversion"/>
  </si>
  <si>
    <t>문슬기</t>
    <phoneticPr fontId="7" type="noConversion"/>
  </si>
  <si>
    <t>유선주</t>
    <phoneticPr fontId="7" type="noConversion"/>
  </si>
  <si>
    <t>민병선</t>
    <phoneticPr fontId="7" type="noConversion"/>
  </si>
  <si>
    <t>조원일</t>
    <phoneticPr fontId="7" type="noConversion"/>
  </si>
  <si>
    <t>한상수</t>
    <phoneticPr fontId="7" type="noConversion"/>
  </si>
  <si>
    <t>심종환</t>
    <phoneticPr fontId="7" type="noConversion"/>
  </si>
  <si>
    <t>박영규</t>
    <phoneticPr fontId="7" type="noConversion"/>
  </si>
  <si>
    <t>7</t>
    <phoneticPr fontId="7" type="noConversion"/>
  </si>
  <si>
    <t>이상헌</t>
    <phoneticPr fontId="7" type="noConversion"/>
  </si>
  <si>
    <t>윤민</t>
    <phoneticPr fontId="7" type="noConversion"/>
  </si>
  <si>
    <t>서용욱</t>
    <phoneticPr fontId="7" type="noConversion"/>
  </si>
  <si>
    <t>김형권</t>
    <phoneticPr fontId="7" type="noConversion"/>
  </si>
  <si>
    <t>이재훈</t>
    <phoneticPr fontId="7" type="noConversion"/>
  </si>
  <si>
    <t>임지혜</t>
    <phoneticPr fontId="7" type="noConversion"/>
  </si>
  <si>
    <t>김형배</t>
    <phoneticPr fontId="7" type="noConversion"/>
  </si>
  <si>
    <t>한승희</t>
    <phoneticPr fontId="7" type="noConversion"/>
  </si>
  <si>
    <t>2</t>
    <phoneticPr fontId="7" type="noConversion"/>
  </si>
  <si>
    <t>3</t>
    <phoneticPr fontId="7" type="noConversion"/>
  </si>
  <si>
    <t>박민들</t>
    <phoneticPr fontId="7" type="noConversion"/>
  </si>
  <si>
    <t>박지웅</t>
    <phoneticPr fontId="7" type="noConversion"/>
  </si>
  <si>
    <t>이혜란</t>
    <phoneticPr fontId="7" type="noConversion"/>
  </si>
  <si>
    <t>이충현</t>
    <phoneticPr fontId="7" type="noConversion"/>
  </si>
  <si>
    <t>박은혜</t>
    <phoneticPr fontId="7" type="noConversion"/>
  </si>
  <si>
    <t>김형균</t>
    <phoneticPr fontId="7" type="noConversion"/>
  </si>
  <si>
    <t>김민제</t>
    <phoneticPr fontId="7" type="noConversion"/>
  </si>
  <si>
    <t>하종호</t>
    <phoneticPr fontId="7" type="noConversion"/>
  </si>
  <si>
    <t>남택림</t>
    <phoneticPr fontId="7" type="noConversion"/>
  </si>
  <si>
    <t>김보경</t>
    <phoneticPr fontId="7" type="noConversion"/>
  </si>
  <si>
    <t>이순옥</t>
    <phoneticPr fontId="7" type="noConversion"/>
  </si>
  <si>
    <t>위생원</t>
    <phoneticPr fontId="7" type="noConversion"/>
  </si>
  <si>
    <t>조리원</t>
    <phoneticPr fontId="7" type="noConversion"/>
  </si>
  <si>
    <t>이미영</t>
    <phoneticPr fontId="7" type="noConversion"/>
  </si>
  <si>
    <t>정순정</t>
    <phoneticPr fontId="7" type="noConversion"/>
  </si>
  <si>
    <t>오혜은</t>
    <phoneticPr fontId="7" type="noConversion"/>
  </si>
  <si>
    <t>촉탁의</t>
    <phoneticPr fontId="7" type="noConversion"/>
  </si>
  <si>
    <t>박제석</t>
    <phoneticPr fontId="7" type="noConversion"/>
  </si>
  <si>
    <t>1</t>
    <phoneticPr fontId="7" type="noConversion"/>
  </si>
  <si>
    <t>20.02 입사</t>
    <phoneticPr fontId="7" type="noConversion"/>
  </si>
  <si>
    <t>20.01 입사</t>
    <phoneticPr fontId="7" type="noConversion"/>
  </si>
  <si>
    <t>이민지</t>
    <phoneticPr fontId="7" type="noConversion"/>
  </si>
  <si>
    <t>20.02 퇴사</t>
    <phoneticPr fontId="7" type="noConversion"/>
  </si>
  <si>
    <t>엄광식</t>
    <phoneticPr fontId="7" type="noConversion"/>
  </si>
  <si>
    <t>20.04 입사</t>
    <phoneticPr fontId="7" type="noConversion"/>
  </si>
  <si>
    <t>20.05 입사</t>
    <phoneticPr fontId="7" type="noConversion"/>
  </si>
  <si>
    <t>최미란</t>
    <phoneticPr fontId="7" type="noConversion"/>
  </si>
  <si>
    <t>20.07 입사</t>
    <phoneticPr fontId="7" type="noConversion"/>
  </si>
  <si>
    <t>20.06 퇴사</t>
    <phoneticPr fontId="7" type="noConversion"/>
  </si>
  <si>
    <t>20.05 퇴사</t>
    <phoneticPr fontId="7" type="noConversion"/>
  </si>
  <si>
    <t>20.07 퇴사</t>
    <phoneticPr fontId="7" type="noConversion"/>
  </si>
  <si>
    <t>이슬</t>
    <phoneticPr fontId="7" type="noConversion"/>
  </si>
  <si>
    <t>한찬혁</t>
    <phoneticPr fontId="7" type="noConversion"/>
  </si>
  <si>
    <t>최동운</t>
    <phoneticPr fontId="7" type="noConversion"/>
  </si>
  <si>
    <t>송혜인</t>
    <phoneticPr fontId="7" type="noConversion"/>
  </si>
  <si>
    <t>20.01 퇴사</t>
    <phoneticPr fontId="7" type="noConversion"/>
  </si>
  <si>
    <t>김도아</t>
    <phoneticPr fontId="7" type="noConversion"/>
  </si>
  <si>
    <t>이건엽</t>
    <phoneticPr fontId="7" type="noConversion"/>
  </si>
  <si>
    <t>정택진</t>
    <phoneticPr fontId="7" type="noConversion"/>
  </si>
  <si>
    <t>20.08 입사</t>
    <phoneticPr fontId="7" type="noConversion"/>
  </si>
  <si>
    <t>20.09 입사</t>
    <phoneticPr fontId="7" type="noConversion"/>
  </si>
  <si>
    <t>경기도
특수근무수당</t>
    <phoneticPr fontId="7" type="noConversion"/>
  </si>
  <si>
    <t>경기도
처우개선비</t>
    <phoneticPr fontId="7" type="noConversion"/>
  </si>
  <si>
    <t>사회보험
부담금</t>
    <phoneticPr fontId="7" type="noConversion"/>
  </si>
  <si>
    <t>직책수당</t>
    <phoneticPr fontId="7" type="noConversion"/>
  </si>
  <si>
    <t>생활지도원
(팀장)</t>
    <phoneticPr fontId="7" type="noConversion"/>
  </si>
  <si>
    <t xml:space="preserve">일용잡금 </t>
  </si>
  <si>
    <t>사회심리재활사업비</t>
  </si>
  <si>
    <t>직업재활사업비</t>
  </si>
  <si>
    <t>4종운영지원사업비</t>
  </si>
  <si>
    <t>7종운영지원사업비</t>
  </si>
  <si>
    <t>재활프로그램사업비</t>
  </si>
  <si>
    <t>기 능 보 강   사업비</t>
  </si>
  <si>
    <t>결연사업비</t>
  </si>
  <si>
    <t>결연후원금</t>
  </si>
  <si>
    <t>과년도지출</t>
  </si>
  <si>
    <t>보조금반환금</t>
  </si>
  <si>
    <t>나. 세입·세출 총괄</t>
    <phoneticPr fontId="4" type="noConversion"/>
  </si>
  <si>
    <t>(단위:원)</t>
    <phoneticPr fontId="4" type="noConversion"/>
  </si>
  <si>
    <t>세                           입</t>
    <phoneticPr fontId="4" type="noConversion"/>
  </si>
  <si>
    <t>세                            출</t>
    <phoneticPr fontId="4" type="noConversion"/>
  </si>
  <si>
    <t>과                     목</t>
    <phoneticPr fontId="4" type="noConversion"/>
  </si>
  <si>
    <t>당초예산
( A )</t>
    <phoneticPr fontId="4" type="noConversion"/>
  </si>
  <si>
    <t>1차추경
( B )</t>
    <phoneticPr fontId="4" type="noConversion"/>
  </si>
  <si>
    <t>증감 (B-A)</t>
    <phoneticPr fontId="4" type="noConversion"/>
  </si>
  <si>
    <t>금액</t>
    <phoneticPr fontId="4" type="noConversion"/>
  </si>
  <si>
    <t>비율(%)</t>
    <phoneticPr fontId="4" type="noConversion"/>
  </si>
  <si>
    <t>총                  계</t>
    <phoneticPr fontId="4" type="noConversion"/>
  </si>
  <si>
    <t>입소자부담금</t>
    <phoneticPr fontId="4" type="noConversion"/>
  </si>
  <si>
    <t>계</t>
    <phoneticPr fontId="4" type="noConversion"/>
  </si>
  <si>
    <t>사무비</t>
    <phoneticPr fontId="4" type="noConversion"/>
  </si>
  <si>
    <t>입소비용수입</t>
    <phoneticPr fontId="4" type="noConversion"/>
  </si>
  <si>
    <t>소계</t>
    <phoneticPr fontId="4" type="noConversion"/>
  </si>
  <si>
    <t>인건비</t>
    <phoneticPr fontId="4" type="noConversion"/>
  </si>
  <si>
    <t>사업수입</t>
    <phoneticPr fontId="4" type="noConversion"/>
  </si>
  <si>
    <t xml:space="preserve">일용잡금 </t>
    <phoneticPr fontId="4" type="noConversion"/>
  </si>
  <si>
    <t>프로그램사업수입</t>
    <phoneticPr fontId="4" type="noConversion"/>
  </si>
  <si>
    <t>퇴직금및퇴직적립금</t>
    <phoneticPr fontId="4" type="noConversion"/>
  </si>
  <si>
    <t>과년도수입</t>
    <phoneticPr fontId="4" type="noConversion"/>
  </si>
  <si>
    <t>사회보험부담비용</t>
    <phoneticPr fontId="4" type="noConversion"/>
  </si>
  <si>
    <t>기타후생경비</t>
    <phoneticPr fontId="4" type="noConversion"/>
  </si>
  <si>
    <t>업무추진비</t>
    <phoneticPr fontId="4" type="noConversion"/>
  </si>
  <si>
    <t>보조금수입</t>
    <phoneticPr fontId="4" type="noConversion"/>
  </si>
  <si>
    <t>회의비</t>
    <phoneticPr fontId="4" type="noConversion"/>
  </si>
  <si>
    <t>운영비</t>
    <phoneticPr fontId="4" type="noConversion"/>
  </si>
  <si>
    <t>국도시보조금(70%)</t>
    <phoneticPr fontId="4" type="noConversion"/>
  </si>
  <si>
    <t>여비</t>
    <phoneticPr fontId="4" type="noConversion"/>
  </si>
  <si>
    <t>수용비및수수료</t>
    <phoneticPr fontId="4" type="noConversion"/>
  </si>
  <si>
    <t>시도보조금(100%)</t>
    <phoneticPr fontId="4" type="noConversion"/>
  </si>
  <si>
    <t>공공요금</t>
    <phoneticPr fontId="4" type="noConversion"/>
  </si>
  <si>
    <t>제세공과금</t>
    <phoneticPr fontId="4" type="noConversion"/>
  </si>
  <si>
    <t>차량비</t>
    <phoneticPr fontId="4" type="noConversion"/>
  </si>
  <si>
    <t>기타운영비</t>
    <phoneticPr fontId="4" type="noConversion"/>
  </si>
  <si>
    <t>재산조성비</t>
    <phoneticPr fontId="4" type="noConversion"/>
  </si>
  <si>
    <t>시설비</t>
    <phoneticPr fontId="4" type="noConversion"/>
  </si>
  <si>
    <t>자산취득비</t>
    <phoneticPr fontId="4" type="noConversion"/>
  </si>
  <si>
    <t>시설장비유지비</t>
    <phoneticPr fontId="4" type="noConversion"/>
  </si>
  <si>
    <t>사업비</t>
    <phoneticPr fontId="4" type="noConversion"/>
  </si>
  <si>
    <t>후원금</t>
    <phoneticPr fontId="4" type="noConversion"/>
  </si>
  <si>
    <t>후원금수입</t>
    <phoneticPr fontId="4" type="noConversion"/>
  </si>
  <si>
    <t>생계비</t>
    <phoneticPr fontId="4" type="noConversion"/>
  </si>
  <si>
    <t>지정후원금</t>
    <phoneticPr fontId="4" type="noConversion"/>
  </si>
  <si>
    <t>피복비</t>
    <phoneticPr fontId="4" type="noConversion"/>
  </si>
  <si>
    <t>비지정후원금</t>
    <phoneticPr fontId="4" type="noConversion"/>
  </si>
  <si>
    <t>의료비</t>
    <phoneticPr fontId="4" type="noConversion"/>
  </si>
  <si>
    <t>연료비</t>
    <phoneticPr fontId="4" type="noConversion"/>
  </si>
  <si>
    <t>전입금</t>
    <phoneticPr fontId="4" type="noConversion"/>
  </si>
  <si>
    <t>사회심리재활사업비</t>
    <phoneticPr fontId="4" type="noConversion"/>
  </si>
  <si>
    <t>법인전입금</t>
    <phoneticPr fontId="4" type="noConversion"/>
  </si>
  <si>
    <t>이월금</t>
    <phoneticPr fontId="4" type="noConversion"/>
  </si>
  <si>
    <t>전년도이월금</t>
    <phoneticPr fontId="4" type="noConversion"/>
  </si>
  <si>
    <t>재활프로그램사업비</t>
    <phoneticPr fontId="4" type="noConversion"/>
  </si>
  <si>
    <t>이월사업비</t>
    <phoneticPr fontId="4" type="noConversion"/>
  </si>
  <si>
    <t>잡수입</t>
    <phoneticPr fontId="4" type="noConversion"/>
  </si>
  <si>
    <t>결연사업비</t>
    <phoneticPr fontId="4" type="noConversion"/>
  </si>
  <si>
    <t>결연후원금</t>
    <phoneticPr fontId="4" type="noConversion"/>
  </si>
  <si>
    <t>불용품매각대</t>
    <phoneticPr fontId="4" type="noConversion"/>
  </si>
  <si>
    <t>과년도지출</t>
    <phoneticPr fontId="4" type="noConversion"/>
  </si>
  <si>
    <t>기타예금이자수입</t>
    <phoneticPr fontId="4" type="noConversion"/>
  </si>
  <si>
    <t>기타잡수입</t>
    <phoneticPr fontId="4" type="noConversion"/>
  </si>
  <si>
    <t>잡지출</t>
    <phoneticPr fontId="4" type="noConversion"/>
  </si>
  <si>
    <t>예비비및기타</t>
    <phoneticPr fontId="4" type="noConversion"/>
  </si>
  <si>
    <t>보조금반환금</t>
    <phoneticPr fontId="4" type="noConversion"/>
  </si>
  <si>
    <t>운전원</t>
    <phoneticPr fontId="7" type="noConversion"/>
  </si>
  <si>
    <t>유동식</t>
    <phoneticPr fontId="7" type="noConversion"/>
  </si>
  <si>
    <t>윤인자</t>
    <phoneticPr fontId="7" type="noConversion"/>
  </si>
  <si>
    <t>전상돈</t>
    <phoneticPr fontId="7" type="noConversion"/>
  </si>
  <si>
    <t>※ 보건복지가족부 2020년 종사자 보수지급기준표 적용.</t>
    <phoneticPr fontId="17" type="noConversion"/>
  </si>
  <si>
    <t>구현우</t>
    <phoneticPr fontId="7" type="noConversion"/>
  </si>
  <si>
    <t>권지수</t>
    <phoneticPr fontId="7" type="noConversion"/>
  </si>
  <si>
    <t>김효주</t>
    <phoneticPr fontId="7" type="noConversion"/>
  </si>
  <si>
    <t>이현경</t>
    <phoneticPr fontId="7" type="noConversion"/>
  </si>
  <si>
    <t>오권호</t>
    <phoneticPr fontId="7" type="noConversion"/>
  </si>
  <si>
    <t>이성진</t>
    <phoneticPr fontId="7" type="noConversion"/>
  </si>
  <si>
    <t>명은아</t>
    <phoneticPr fontId="7" type="noConversion"/>
  </si>
  <si>
    <t>김철진</t>
    <phoneticPr fontId="7" type="noConversion"/>
  </si>
  <si>
    <t>이풍원</t>
    <phoneticPr fontId="7" type="noConversion"/>
  </si>
  <si>
    <t>20.1 입사</t>
    <phoneticPr fontId="7" type="noConversion"/>
  </si>
  <si>
    <t>20.2 입사</t>
    <phoneticPr fontId="7" type="noConversion"/>
  </si>
  <si>
    <t>20.4 입사</t>
    <phoneticPr fontId="7" type="noConversion"/>
  </si>
  <si>
    <t>20.7 입사</t>
    <phoneticPr fontId="7" type="noConversion"/>
  </si>
  <si>
    <t>20.8 입사</t>
    <phoneticPr fontId="7" type="noConversion"/>
  </si>
  <si>
    <t>20.9 입사</t>
    <phoneticPr fontId="7" type="noConversion"/>
  </si>
  <si>
    <t>합계액</t>
    <phoneticPr fontId="7" type="noConversion"/>
  </si>
  <si>
    <t>김현욱</t>
    <phoneticPr fontId="7" type="noConversion"/>
  </si>
  <si>
    <t xml:space="preserve">20.6퇴사 </t>
    <phoneticPr fontId="7" type="noConversion"/>
  </si>
  <si>
    <t>보조금수입</t>
    <phoneticPr fontId="4" type="noConversion"/>
  </si>
  <si>
    <t>1차추경
예산 (B)</t>
    <phoneticPr fontId="4" type="noConversion"/>
  </si>
  <si>
    <t>2020년당초
예산 (A)</t>
    <phoneticPr fontId="4" type="noConversion"/>
  </si>
  <si>
    <t>2020년
당초예산(A)</t>
    <phoneticPr fontId="4" type="noConversion"/>
  </si>
  <si>
    <t>한정숙</t>
    <phoneticPr fontId="7" type="noConversion"/>
  </si>
  <si>
    <t>※ '국민기초 생활보장 급여'월별 산출내역표</t>
    <phoneticPr fontId="4" type="noConversion"/>
  </si>
  <si>
    <t>월</t>
    <phoneticPr fontId="4" type="noConversion"/>
  </si>
  <si>
    <t>구            분</t>
    <phoneticPr fontId="4" type="noConversion"/>
  </si>
  <si>
    <t>금    액</t>
    <phoneticPr fontId="4" type="noConversion"/>
  </si>
  <si>
    <t>비           고</t>
    <phoneticPr fontId="4" type="noConversion"/>
  </si>
  <si>
    <t>총계</t>
    <phoneticPr fontId="4" type="noConversion"/>
  </si>
  <si>
    <t xml:space="preserve"> ※생활보장급여 입소 현인원 </t>
    <phoneticPr fontId="4" type="noConversion"/>
  </si>
  <si>
    <t>위로금</t>
    <phoneticPr fontId="4" type="noConversion"/>
  </si>
  <si>
    <t>특별위로금</t>
    <phoneticPr fontId="4" type="noConversion"/>
  </si>
  <si>
    <t>2회</t>
    <phoneticPr fontId="4" type="noConversion"/>
  </si>
  <si>
    <t>주부식비</t>
    <phoneticPr fontId="4" type="noConversion"/>
  </si>
  <si>
    <t>12회</t>
    <phoneticPr fontId="4" type="noConversion"/>
  </si>
  <si>
    <t>월동대책비</t>
    <phoneticPr fontId="4" type="noConversion"/>
  </si>
  <si>
    <t>1회</t>
    <phoneticPr fontId="4" type="noConversion"/>
  </si>
  <si>
    <t>1월</t>
    <phoneticPr fontId="4" type="noConversion"/>
  </si>
  <si>
    <t>원</t>
    <phoneticPr fontId="4" type="noConversion"/>
  </si>
  <si>
    <t>×</t>
    <phoneticPr fontId="4" type="noConversion"/>
  </si>
  <si>
    <t>명</t>
    <phoneticPr fontId="4" type="noConversion"/>
  </si>
  <si>
    <t>일</t>
    <phoneticPr fontId="4" type="noConversion"/>
  </si>
  <si>
    <t>=</t>
    <phoneticPr fontId="4" type="noConversion"/>
  </si>
  <si>
    <t>개월</t>
    <phoneticPr fontId="4" type="noConversion"/>
  </si>
  <si>
    <t>동내의</t>
    <phoneticPr fontId="4" type="noConversion"/>
  </si>
  <si>
    <t>회</t>
    <phoneticPr fontId="4" type="noConversion"/>
  </si>
  <si>
    <t>2월</t>
    <phoneticPr fontId="4" type="noConversion"/>
  </si>
  <si>
    <t xml:space="preserve"> 설지급</t>
    <phoneticPr fontId="4" type="noConversion"/>
  </si>
  <si>
    <t>3월</t>
    <phoneticPr fontId="4" type="noConversion"/>
  </si>
  <si>
    <t>4월</t>
    <phoneticPr fontId="4" type="noConversion"/>
  </si>
  <si>
    <t>주부식비
피복비</t>
    <phoneticPr fontId="4" type="noConversion"/>
  </si>
  <si>
    <t>5월</t>
    <phoneticPr fontId="4" type="noConversion"/>
  </si>
  <si>
    <t>6월</t>
    <phoneticPr fontId="4" type="noConversion"/>
  </si>
  <si>
    <t>7월</t>
    <phoneticPr fontId="4" type="noConversion"/>
  </si>
  <si>
    <t>8월</t>
    <phoneticPr fontId="4" type="noConversion"/>
  </si>
  <si>
    <t>9월</t>
    <phoneticPr fontId="4" type="noConversion"/>
  </si>
  <si>
    <t xml:space="preserve"> 추석지급</t>
    <phoneticPr fontId="4" type="noConversion"/>
  </si>
  <si>
    <t>10월</t>
    <phoneticPr fontId="4" type="noConversion"/>
  </si>
  <si>
    <t xml:space="preserve"> 10월 지급 </t>
    <phoneticPr fontId="4" type="noConversion"/>
  </si>
  <si>
    <t xml:space="preserve"> 10월 지급</t>
    <phoneticPr fontId="4" type="noConversion"/>
  </si>
  <si>
    <t>11월</t>
    <phoneticPr fontId="4" type="noConversion"/>
  </si>
  <si>
    <t>12월</t>
    <phoneticPr fontId="4" type="noConversion"/>
  </si>
  <si>
    <t xml:space="preserve"> ※생활보장급여입소현인원 47명</t>
    <phoneticPr fontId="4" type="noConversion"/>
  </si>
  <si>
    <t xml:space="preserve"> ※ '장애인복지시설 입소자지원(4종)'산출내역표</t>
  </si>
  <si>
    <t>산     출     내     역</t>
    <phoneticPr fontId="4" type="noConversion"/>
  </si>
  <si>
    <t>금   액</t>
    <phoneticPr fontId="4" type="noConversion"/>
  </si>
  <si>
    <t>비   고</t>
    <phoneticPr fontId="4" type="noConversion"/>
  </si>
  <si>
    <t>소                                                  계</t>
    <phoneticPr fontId="4" type="noConversion"/>
  </si>
  <si>
    <t>입소자부식비</t>
    <phoneticPr fontId="4" type="noConversion"/>
  </si>
  <si>
    <t>1 월</t>
    <phoneticPr fontId="4" type="noConversion"/>
  </si>
  <si>
    <t>2 월</t>
    <phoneticPr fontId="4" type="noConversion"/>
  </si>
  <si>
    <t>3 월</t>
    <phoneticPr fontId="4" type="noConversion"/>
  </si>
  <si>
    <t>4 월</t>
    <phoneticPr fontId="4" type="noConversion"/>
  </si>
  <si>
    <t>5 월</t>
    <phoneticPr fontId="4" type="noConversion"/>
  </si>
  <si>
    <t>6 월</t>
    <phoneticPr fontId="4" type="noConversion"/>
  </si>
  <si>
    <t>7 월</t>
    <phoneticPr fontId="4" type="noConversion"/>
  </si>
  <si>
    <t>8 월</t>
    <phoneticPr fontId="4" type="noConversion"/>
  </si>
  <si>
    <t>9 월</t>
    <phoneticPr fontId="4" type="noConversion"/>
  </si>
  <si>
    <t>10 월</t>
    <phoneticPr fontId="4" type="noConversion"/>
  </si>
  <si>
    <t>11 월</t>
    <phoneticPr fontId="4" type="noConversion"/>
  </si>
  <si>
    <t>12 월</t>
    <phoneticPr fontId="4" type="noConversion"/>
  </si>
  <si>
    <t>입소자간식비</t>
    <phoneticPr fontId="4" type="noConversion"/>
  </si>
  <si>
    <t>입소자피복비
및 특별급식비</t>
    <phoneticPr fontId="4" type="noConversion"/>
  </si>
  <si>
    <t>특별
급식비</t>
    <phoneticPr fontId="4" type="noConversion"/>
  </si>
  <si>
    <t>설날</t>
    <phoneticPr fontId="4" type="noConversion"/>
  </si>
  <si>
    <t>장애인
의날</t>
    <phoneticPr fontId="4" type="noConversion"/>
  </si>
  <si>
    <t>추석</t>
    <phoneticPr fontId="4" type="noConversion"/>
  </si>
  <si>
    <t>연말</t>
    <phoneticPr fontId="4" type="noConversion"/>
  </si>
  <si>
    <t>입소자
건강진단비</t>
    <phoneticPr fontId="4" type="noConversion"/>
  </si>
  <si>
    <t>년1회</t>
    <phoneticPr fontId="4" type="noConversion"/>
  </si>
  <si>
    <t>* 월평균 28,330,000원*12월</t>
    <phoneticPr fontId="4" type="noConversion"/>
  </si>
  <si>
    <t>* 종사자급식비 : 34,000,000원
* SK,LG 장소임대료  : 6,050,000원
* 기타 19,000,000원</t>
    <phoneticPr fontId="4" type="noConversion"/>
  </si>
  <si>
    <t>*실비인원 32명*350,000원*12개월=134,400,000원</t>
    <phoneticPr fontId="4" type="noConversion"/>
  </si>
  <si>
    <t>*2020년 재활프로그램 중증장애인의 직업능력개발을 위한 목공프로그램 “우드잡 woodjob” 선정</t>
    <phoneticPr fontId="4" type="noConversion"/>
  </si>
  <si>
    <t>7종인건비</t>
    <phoneticPr fontId="4" type="noConversion"/>
  </si>
  <si>
    <t>4종(100%)</t>
    <phoneticPr fontId="4" type="noConversion"/>
  </si>
  <si>
    <t>기능보강사업비</t>
    <phoneticPr fontId="4" type="noConversion"/>
  </si>
  <si>
    <t>7종인건비</t>
  </si>
  <si>
    <t>4종(100%)</t>
  </si>
  <si>
    <t>기능보강사업비</t>
  </si>
  <si>
    <t>차량운영비</t>
  </si>
  <si>
    <t>간병인비</t>
  </si>
  <si>
    <t>인건비(70%)</t>
    <phoneticPr fontId="4" type="noConversion"/>
  </si>
  <si>
    <t>관리운영비(70%)</t>
    <phoneticPr fontId="4" type="noConversion"/>
  </si>
  <si>
    <t>생계비(70%)</t>
    <phoneticPr fontId="4" type="noConversion"/>
  </si>
  <si>
    <t>기능보강사업비(50%)</t>
    <phoneticPr fontId="4" type="noConversion"/>
  </si>
  <si>
    <t>인건비(30%)</t>
    <phoneticPr fontId="4" type="noConversion"/>
  </si>
  <si>
    <t>관리운영비(30%)</t>
    <phoneticPr fontId="4" type="noConversion"/>
  </si>
  <si>
    <t>생계비(30%)</t>
    <phoneticPr fontId="4" type="noConversion"/>
  </si>
  <si>
    <t>연장추가지원수당(100%)</t>
    <phoneticPr fontId="4" type="noConversion"/>
  </si>
  <si>
    <t>다. 세   입</t>
    <phoneticPr fontId="4" type="noConversion"/>
  </si>
  <si>
    <t xml:space="preserve">    3) 후원금세입내역</t>
    <phoneticPr fontId="4" type="noConversion"/>
  </si>
  <si>
    <t>증감(B-A)</t>
    <phoneticPr fontId="4" type="noConversion"/>
  </si>
  <si>
    <t>산    출    내    역</t>
    <phoneticPr fontId="4" type="noConversion"/>
  </si>
  <si>
    <t>총                            계</t>
    <phoneticPr fontId="4" type="noConversion"/>
  </si>
  <si>
    <t>* 차량구입 지정후원 :         12,400,000원
* 재활프로그램 지정후원 :     3,280,000원
* 결연후원금 :                     2,820,000원
* 재난복구지정후원(법인) :  20,000,000원</t>
    <phoneticPr fontId="4" type="noConversion"/>
  </si>
  <si>
    <t>* 월평균 28,333,333원*12월</t>
    <phoneticPr fontId="4" type="noConversion"/>
  </si>
  <si>
    <t>차입금</t>
    <phoneticPr fontId="4" type="noConversion"/>
  </si>
  <si>
    <t>금융기관차입</t>
    <phoneticPr fontId="4" type="noConversion"/>
  </si>
  <si>
    <t>기타차입금</t>
    <phoneticPr fontId="4" type="noConversion"/>
  </si>
  <si>
    <t xml:space="preserve">    2) 자부담세입내역</t>
    <phoneticPr fontId="4" type="noConversion"/>
  </si>
  <si>
    <t>실비인원 32명*350,000원*12개월=134,400,000원</t>
    <phoneticPr fontId="4" type="noConversion"/>
  </si>
  <si>
    <t>* 입소비용수입 이월금( 9,105,019원)
* 법인전입금 이월금   ( 3,080,563원)
* 종사자식대 이월금   ( 2,970,859원)
* 기타 잡수입 이월금  ( 7,098,481원)
* 예금이자 이월금      (   178,200원)</t>
    <phoneticPr fontId="4" type="noConversion"/>
  </si>
  <si>
    <t xml:space="preserve"> 종사자급식비34,000,000/ 임대료(SK,LG) 6,050,000/
 기타 19,000,000</t>
    <phoneticPr fontId="4" type="noConversion"/>
  </si>
  <si>
    <t xml:space="preserve">    1) 보조금세입내역</t>
    <phoneticPr fontId="4" type="noConversion"/>
  </si>
  <si>
    <t>국고보조금(70%)</t>
    <phoneticPr fontId="4" type="noConversion"/>
  </si>
  <si>
    <t>소  계</t>
    <phoneticPr fontId="4" type="noConversion"/>
  </si>
  <si>
    <t>* 인    건    비(70%) :   1,762,166,875원
* 관 리 운 영 비(70%) :     71,270,500원
* 생    계    비(70%) :        98,517,440원
* 기능보강사업비(50%) :    1,049,400원</t>
    <phoneticPr fontId="4" type="noConversion"/>
  </si>
  <si>
    <t>시도보조금(30%)</t>
    <phoneticPr fontId="4" type="noConversion"/>
  </si>
  <si>
    <t>* 인  건  비 (30%)  :       646,119,303원
* 관리운영비 (30%) :       30,544,500원
* 생  계  비 (30%)  :         42,221,760원
* 기능보강사업(50%) :       1,049,400원</t>
    <phoneticPr fontId="4" type="noConversion"/>
  </si>
  <si>
    <t>기타보조금</t>
    <phoneticPr fontId="4" type="noConversion"/>
  </si>
  <si>
    <t xml:space="preserve">
* 운영비 이월금 :                 5,003,680원
* 운영비 예금이자 이월금 :      162,040원
* 생계비 예금이자 이월금 :         4,280원
</t>
    <phoneticPr fontId="4" type="noConversion"/>
  </si>
  <si>
    <t>다-1. 세   입</t>
    <phoneticPr fontId="4" type="noConversion"/>
  </si>
  <si>
    <t>세목</t>
    <phoneticPr fontId="4" type="noConversion"/>
  </si>
  <si>
    <t>시도보조금</t>
    <phoneticPr fontId="4" type="noConversion"/>
  </si>
  <si>
    <t>* 7종 인건비 보조금  : 134,853,900원
* 연장추가지원수당 :  26,480,700원</t>
    <phoneticPr fontId="4" type="noConversion"/>
  </si>
  <si>
    <t>2020년 재활프로그램 중증장애인의 직업능력개발을 위한 목공프로그램 “우드잡 woodjob” 선정</t>
    <phoneticPr fontId="4" type="noConversion"/>
  </si>
  <si>
    <t>* 7종 보조금 이월금 :                 1,231,470원
* 7종 예금이자 이월금 :                  11,940원
* 4종 보조금 이월금 :                      40,000원
* 4종 예금이자 이월금 :                     6,190원
* 재활프로그램 예금이자 이월금:        3,400원
* 추가지원 보조금 이월금 :           1,690,580원
* 추가지원 예금이자 이월금 :              4,460원
* 기능보강 이월금 :                         341,740원
* 기능보강 예금이자 이월금 :             13,410원</t>
    <phoneticPr fontId="4" type="noConversion"/>
  </si>
  <si>
    <t>라. 세   출</t>
    <phoneticPr fontId="4" type="noConversion"/>
  </si>
  <si>
    <t xml:space="preserve">    1) 보조금 세출내역  </t>
    <phoneticPr fontId="4" type="noConversion"/>
  </si>
  <si>
    <t xml:space="preserve">산     출     내     역 </t>
    <phoneticPr fontId="4" type="noConversion"/>
  </si>
  <si>
    <t>80명기준</t>
    <phoneticPr fontId="4" type="noConversion"/>
  </si>
  <si>
    <t>실수령액기준</t>
    <phoneticPr fontId="4" type="noConversion"/>
  </si>
  <si>
    <t>총                     계</t>
    <phoneticPr fontId="4" type="noConversion"/>
  </si>
  <si>
    <t xml:space="preserve"> * 시설당기본지원      : 2,286,000원*30명 = 68,580,000원
 * 생활장애인가중지원 :   635,000원*50명 = 31,750,000원
 * 전자결제시스텀운영비 :                         1,485,000원                                            </t>
    <phoneticPr fontId="4" type="noConversion"/>
  </si>
  <si>
    <t>운영비합계액</t>
    <phoneticPr fontId="4" type="noConversion"/>
  </si>
  <si>
    <t xml:space="preserve"> 종사자인건비 총계표 참조</t>
    <phoneticPr fontId="4" type="noConversion"/>
  </si>
  <si>
    <t>명절휴가비</t>
    <phoneticPr fontId="4" type="noConversion"/>
  </si>
  <si>
    <t>연장근로수당</t>
    <phoneticPr fontId="4" type="noConversion"/>
  </si>
  <si>
    <t>가족수당</t>
    <phoneticPr fontId="4" type="noConversion"/>
  </si>
  <si>
    <t>퇴직적립금</t>
    <phoneticPr fontId="4" type="noConversion"/>
  </si>
  <si>
    <t>사회보험부담금</t>
    <phoneticPr fontId="4" type="noConversion"/>
  </si>
  <si>
    <t>건강보험     부담금</t>
    <phoneticPr fontId="4" type="noConversion"/>
  </si>
  <si>
    <t xml:space="preserve">건강보험보험료 : 2,124,498,180원*3.335% = 70,852,020원
장기요양보험료 :        70,852,020*10.25% =  7,262,340원                                             </t>
    <phoneticPr fontId="4" type="noConversion"/>
  </si>
  <si>
    <t>국민연금    부담금</t>
    <phoneticPr fontId="4" type="noConversion"/>
  </si>
  <si>
    <t>국민연금보험료 : 1,819,575,080원*4.5% = 81,880,880원</t>
    <phoneticPr fontId="4" type="noConversion"/>
  </si>
  <si>
    <t>고용보험     부담금</t>
    <phoneticPr fontId="4" type="noConversion"/>
  </si>
  <si>
    <t>고용보험료 : 1,763,741,030원*0.9% = 15,873,670원</t>
    <phoneticPr fontId="4" type="noConversion"/>
  </si>
  <si>
    <t>산재보험     부담금</t>
    <phoneticPr fontId="4" type="noConversion"/>
  </si>
  <si>
    <t>산재보험료 : 1,763,741,030원*0.8%=</t>
    <phoneticPr fontId="4" type="noConversion"/>
  </si>
  <si>
    <t>14,109,930원</t>
    <phoneticPr fontId="4" type="noConversion"/>
  </si>
  <si>
    <t>업무        추진비</t>
    <phoneticPr fontId="4" type="noConversion"/>
  </si>
  <si>
    <t>기관운영비</t>
    <phoneticPr fontId="4" type="noConversion"/>
  </si>
  <si>
    <t>직책보조비</t>
    <phoneticPr fontId="4" type="noConversion"/>
  </si>
  <si>
    <t xml:space="preserve"> 인권지킴이단 회의비</t>
    <phoneticPr fontId="4" type="noConversion"/>
  </si>
  <si>
    <t xml:space="preserve"> </t>
    <phoneticPr fontId="4" type="noConversion"/>
  </si>
  <si>
    <t>수용비및
수수료</t>
    <phoneticPr fontId="4" type="noConversion"/>
  </si>
  <si>
    <t xml:space="preserve"> 사무용품비, 인쇄비, 수수료 등</t>
    <phoneticPr fontId="4" type="noConversion"/>
  </si>
  <si>
    <t xml:space="preserve"> 수도료,전기료,우편료,전화료,운송료 등</t>
    <phoneticPr fontId="4" type="noConversion"/>
  </si>
  <si>
    <t xml:space="preserve"> 화재, 음식물, 영업배상책임, 자동차보험료 등</t>
    <phoneticPr fontId="4" type="noConversion"/>
  </si>
  <si>
    <t>화재보험료</t>
    <phoneticPr fontId="4" type="noConversion"/>
  </si>
  <si>
    <t xml:space="preserve"> 소멸성 보험에 가입</t>
    <phoneticPr fontId="4" type="noConversion"/>
  </si>
  <si>
    <t>상해보험료</t>
    <phoneticPr fontId="4" type="noConversion"/>
  </si>
  <si>
    <t>실제 운행중인 업무용 차량 연료 및 소모품 교체등</t>
    <phoneticPr fontId="4" type="noConversion"/>
  </si>
  <si>
    <t>전자결재시스템구축을 위한NAS구입</t>
    <phoneticPr fontId="4" type="noConversion"/>
  </si>
  <si>
    <t>시설장비           유지비</t>
    <phoneticPr fontId="4" type="noConversion"/>
  </si>
  <si>
    <t>건물유지비</t>
    <phoneticPr fontId="4" type="noConversion"/>
  </si>
  <si>
    <t xml:space="preserve"> 건물 유지 관리비 </t>
    <phoneticPr fontId="4" type="noConversion"/>
  </si>
  <si>
    <t xml:space="preserve"> 37,300원 X 47명 X 1회 / 36,300원 X 48명 X 1회 (설,추석)지급</t>
    <phoneticPr fontId="4" type="noConversion"/>
  </si>
  <si>
    <t xml:space="preserve"> 236,251원 X 47명 X 3회 / 229,504원 X 48명 X 9회</t>
    <phoneticPr fontId="4" type="noConversion"/>
  </si>
  <si>
    <t xml:space="preserve"> 33,075원 X 48명 X 1회</t>
    <phoneticPr fontId="4" type="noConversion"/>
  </si>
  <si>
    <t>수용기관경비</t>
    <phoneticPr fontId="4" type="noConversion"/>
  </si>
  <si>
    <t>위생재료비</t>
    <phoneticPr fontId="4" type="noConversion"/>
  </si>
  <si>
    <t xml:space="preserve"> 장애인의 위생관리를 위한 용품 구입비 등 </t>
    <phoneticPr fontId="4" type="noConversion"/>
  </si>
  <si>
    <t>일상용품비</t>
    <phoneticPr fontId="4" type="noConversion"/>
  </si>
  <si>
    <t xml:space="preserve"> 일상 생활용품 경비</t>
    <phoneticPr fontId="4" type="noConversion"/>
  </si>
  <si>
    <t>사회심리
재활사업비</t>
    <phoneticPr fontId="4" type="noConversion"/>
  </si>
  <si>
    <t>여행경비등</t>
    <phoneticPr fontId="4" type="noConversion"/>
  </si>
  <si>
    <t>코로나19로 인한 외부활동 축소</t>
    <phoneticPr fontId="4" type="noConversion"/>
  </si>
  <si>
    <t>기 능 보 강   사업비</t>
    <phoneticPr fontId="4" type="noConversion"/>
  </si>
  <si>
    <t>공기청정기 지원사업선정에 따른 차액발생</t>
    <phoneticPr fontId="4" type="noConversion"/>
  </si>
  <si>
    <t>보조금반환</t>
    <phoneticPr fontId="4" type="noConversion"/>
  </si>
  <si>
    <t>라-1. 세   출</t>
    <phoneticPr fontId="4" type="noConversion"/>
  </si>
  <si>
    <t xml:space="preserve">    2) 보조금 세출내역  </t>
    <phoneticPr fontId="4" type="noConversion"/>
  </si>
  <si>
    <t>7종</t>
    <phoneticPr fontId="4" type="noConversion"/>
  </si>
  <si>
    <t>종사자인건비 총계표 참조</t>
    <phoneticPr fontId="4" type="noConversion"/>
  </si>
  <si>
    <t>연장추가
지원수당</t>
    <phoneticPr fontId="4" type="noConversion"/>
  </si>
  <si>
    <t>7종운영지원사업비</t>
    <phoneticPr fontId="4" type="noConversion"/>
  </si>
  <si>
    <t>차량운영비</t>
    <phoneticPr fontId="4" type="noConversion"/>
  </si>
  <si>
    <t xml:space="preserve"> 300,000원 X 12개월 = 3,600,000원</t>
    <phoneticPr fontId="4" type="noConversion"/>
  </si>
  <si>
    <t>환경개선사업</t>
    <phoneticPr fontId="4" type="noConversion"/>
  </si>
  <si>
    <t xml:space="preserve"> 7,000,000원 X 1개소 = 7,000,000원</t>
    <phoneticPr fontId="4" type="noConversion"/>
  </si>
  <si>
    <t>간병인비</t>
    <phoneticPr fontId="4" type="noConversion"/>
  </si>
  <si>
    <t>200,000원*15회=3,000,000원</t>
    <phoneticPr fontId="4" type="noConversion"/>
  </si>
  <si>
    <t>4종운영지원사업비</t>
    <phoneticPr fontId="4" type="noConversion"/>
  </si>
  <si>
    <t>입소자              부식비</t>
    <phoneticPr fontId="4" type="noConversion"/>
  </si>
  <si>
    <t xml:space="preserve"> 500원 X 80명 X 365일  </t>
    <phoneticPr fontId="4" type="noConversion"/>
  </si>
  <si>
    <t>입소자           간식비</t>
    <phoneticPr fontId="4" type="noConversion"/>
  </si>
  <si>
    <t xml:space="preserve"> 5,000원 X 80명 X 12개월</t>
    <phoneticPr fontId="4" type="noConversion"/>
  </si>
  <si>
    <t>입소자              피복비</t>
    <phoneticPr fontId="4" type="noConversion"/>
  </si>
  <si>
    <t xml:space="preserve"> 20,000원 X 80명 X 4회</t>
    <phoneticPr fontId="4" type="noConversion"/>
  </si>
  <si>
    <t>입소자
특별급식비</t>
    <phoneticPr fontId="4" type="noConversion"/>
  </si>
  <si>
    <t xml:space="preserve"> 12,000원 X 80명 X 4회</t>
    <phoneticPr fontId="4" type="noConversion"/>
  </si>
  <si>
    <t xml:space="preserve"> 40,000원 X 80명 X 1회</t>
    <phoneticPr fontId="4" type="noConversion"/>
  </si>
  <si>
    <t>기능보강     사업비</t>
    <phoneticPr fontId="4" type="noConversion"/>
  </si>
  <si>
    <t>기능보강    사업비</t>
    <phoneticPr fontId="4" type="noConversion"/>
  </si>
  <si>
    <t>코로나19예방을 위한 방역물품 지원</t>
    <phoneticPr fontId="4" type="noConversion"/>
  </si>
  <si>
    <t xml:space="preserve"> 2019년 결산에 의한 보조금 반환액</t>
    <phoneticPr fontId="4" type="noConversion"/>
  </si>
  <si>
    <t>합계액</t>
    <phoneticPr fontId="4" type="noConversion"/>
  </si>
  <si>
    <t xml:space="preserve">    3) 자부담 세출내역  </t>
    <phoneticPr fontId="4" type="noConversion"/>
  </si>
  <si>
    <t>유료입소/이월금</t>
    <phoneticPr fontId="4" type="noConversion"/>
  </si>
  <si>
    <t>법인전입/이월금</t>
    <phoneticPr fontId="4" type="noConversion"/>
  </si>
  <si>
    <t>잡수입/불용품/이월금</t>
    <phoneticPr fontId="4" type="noConversion"/>
  </si>
  <si>
    <t>종사자식대/이월금</t>
    <phoneticPr fontId="4" type="noConversion"/>
  </si>
  <si>
    <t>예금이자/이월금</t>
    <phoneticPr fontId="4" type="noConversion"/>
  </si>
  <si>
    <t>잡수입/이월금</t>
    <phoneticPr fontId="4" type="noConversion"/>
  </si>
  <si>
    <t>종사자/이월금</t>
    <phoneticPr fontId="4" type="noConversion"/>
  </si>
  <si>
    <t>상여금</t>
    <phoneticPr fontId="4" type="noConversion"/>
  </si>
  <si>
    <t>일용잡급</t>
    <phoneticPr fontId="4" type="noConversion"/>
  </si>
  <si>
    <t>가계보조수당</t>
    <phoneticPr fontId="4" type="noConversion"/>
  </si>
  <si>
    <t>교통급식비</t>
    <phoneticPr fontId="4" type="noConversion"/>
  </si>
  <si>
    <t>생활복지사수당</t>
    <phoneticPr fontId="4" type="noConversion"/>
  </si>
  <si>
    <t>생활지도원수당</t>
    <phoneticPr fontId="4" type="noConversion"/>
  </si>
  <si>
    <t>조리.위생수당</t>
    <phoneticPr fontId="4" type="noConversion"/>
  </si>
  <si>
    <t>직책수당</t>
    <phoneticPr fontId="4" type="noConversion"/>
  </si>
  <si>
    <t xml:space="preserve">기관장(300,000원),사무국장(200,000원),
과장(150,000원,2명),팀장(100,000원, 8명) </t>
    <phoneticPr fontId="4" type="noConversion"/>
  </si>
  <si>
    <t>퇴직금및
적립금</t>
    <phoneticPr fontId="4" type="noConversion"/>
  </si>
  <si>
    <t>사회보험
부담비용</t>
    <phoneticPr fontId="4" type="noConversion"/>
  </si>
  <si>
    <t>건강보험부담금</t>
    <phoneticPr fontId="4" type="noConversion"/>
  </si>
  <si>
    <t xml:space="preserve">건강보험보험료 : 19,000,000원*3.335% = 633,650원
장기요양보험료 :     633,650원*10.25% =  64,940원                                             </t>
    <phoneticPr fontId="4" type="noConversion"/>
  </si>
  <si>
    <t>국민연금부담금</t>
    <phoneticPr fontId="4" type="noConversion"/>
  </si>
  <si>
    <t>고용보험부담금</t>
    <phoneticPr fontId="4" type="noConversion"/>
  </si>
  <si>
    <t>고용보험료 : 15,400,000원*0.9% = 138,600원</t>
    <phoneticPr fontId="4" type="noConversion"/>
  </si>
  <si>
    <t>산재보험부담금</t>
    <phoneticPr fontId="4" type="noConversion"/>
  </si>
  <si>
    <t>산재보험료 : 15,400,000원*0.8% = 123,200원</t>
    <phoneticPr fontId="4" type="noConversion"/>
  </si>
  <si>
    <t xml:space="preserve"> 종사자체육대회,기타상해보험,해외연수등복리후생비 등</t>
    <phoneticPr fontId="4" type="noConversion"/>
  </si>
  <si>
    <t>업무
추진비</t>
    <phoneticPr fontId="4" type="noConversion"/>
  </si>
  <si>
    <t>홍보비</t>
    <phoneticPr fontId="4" type="noConversion"/>
  </si>
  <si>
    <t>인권지킴이, 운영위원회등 경비</t>
    <phoneticPr fontId="4" type="noConversion"/>
  </si>
  <si>
    <t>차량 주유비 및 정비료</t>
    <phoneticPr fontId="4" type="noConversion"/>
  </si>
  <si>
    <t>직원근무복, 기타행사비(부활,성탄)</t>
    <phoneticPr fontId="4" type="noConversion"/>
  </si>
  <si>
    <t>시설공사비</t>
    <phoneticPr fontId="4" type="noConversion"/>
  </si>
  <si>
    <t xml:space="preserve">음식물처리기,10년이상 사용된 노후설비기구 교체비용 </t>
    <phoneticPr fontId="4" type="noConversion"/>
  </si>
  <si>
    <t>시설장비
유지비</t>
    <phoneticPr fontId="4" type="noConversion"/>
  </si>
  <si>
    <t>생활동 방수공사등 노후설비보강</t>
    <phoneticPr fontId="4" type="noConversion"/>
  </si>
  <si>
    <t>거주인 생계비 : 7,083,330원*12월=85,000,000원</t>
    <phoneticPr fontId="4" type="noConversion"/>
  </si>
  <si>
    <t>거주인 피복구입비 : 2,000,000원*2회=4,000,000원</t>
    <phoneticPr fontId="4" type="noConversion"/>
  </si>
  <si>
    <t>수용기관경비 250,000원*12월=3,000,000원</t>
    <phoneticPr fontId="4" type="noConversion"/>
  </si>
  <si>
    <t>일상용품구입비 833,330원*12월=10,000,000원</t>
    <phoneticPr fontId="4" type="noConversion"/>
  </si>
  <si>
    <t>직업재활비</t>
    <phoneticPr fontId="4" type="noConversion"/>
  </si>
  <si>
    <t>자활사업비</t>
    <phoneticPr fontId="4" type="noConversion"/>
  </si>
  <si>
    <t>특별급식비</t>
    <phoneticPr fontId="4" type="noConversion"/>
  </si>
  <si>
    <t>교육비</t>
    <phoneticPr fontId="4" type="noConversion"/>
  </si>
  <si>
    <t>수업료</t>
    <phoneticPr fontId="4" type="noConversion"/>
  </si>
  <si>
    <t>학용품비</t>
    <phoneticPr fontId="4" type="noConversion"/>
  </si>
  <si>
    <t>도서구입비</t>
    <phoneticPr fontId="4" type="noConversion"/>
  </si>
  <si>
    <t>교통비</t>
    <phoneticPr fontId="4" type="noConversion"/>
  </si>
  <si>
    <t>급식비</t>
    <phoneticPr fontId="4" type="noConversion"/>
  </si>
  <si>
    <t>학습지원비</t>
    <phoneticPr fontId="4" type="noConversion"/>
  </si>
  <si>
    <t>수학여행비</t>
    <phoneticPr fontId="4" type="noConversion"/>
  </si>
  <si>
    <t>교복비</t>
    <phoneticPr fontId="4" type="noConversion"/>
  </si>
  <si>
    <t>이미용비</t>
    <phoneticPr fontId="4" type="noConversion"/>
  </si>
  <si>
    <t>기타교육비</t>
    <phoneticPr fontId="4" type="noConversion"/>
  </si>
  <si>
    <t>의료재활사업비</t>
    <phoneticPr fontId="4" type="noConversion"/>
  </si>
  <si>
    <t xml:space="preserve"> 여행,등산,놀이 등에 소요되는 여비,기구 구입비</t>
    <phoneticPr fontId="4" type="noConversion"/>
  </si>
  <si>
    <t>교육재활사업비</t>
    <phoneticPr fontId="4" type="noConversion"/>
  </si>
  <si>
    <t xml:space="preserve"> 생활장애인의 교육 및 교양함양을 위한 교재/도서 구입비
 (미술,한글교실 등)</t>
    <phoneticPr fontId="4" type="noConversion"/>
  </si>
  <si>
    <t>직업재활
사업비</t>
    <phoneticPr fontId="4" type="noConversion"/>
  </si>
  <si>
    <r>
      <t xml:space="preserve"> 직업재활활동에 소요되는 비용</t>
    </r>
    <r>
      <rPr>
        <sz val="7"/>
        <rFont val="바탕"/>
        <family val="1"/>
        <charset val="129"/>
      </rPr>
      <t xml:space="preserve"> </t>
    </r>
    <phoneticPr fontId="4" type="noConversion"/>
  </si>
  <si>
    <t>재활승마사업비</t>
    <phoneticPr fontId="4" type="noConversion"/>
  </si>
  <si>
    <t>공동모금회사업비</t>
    <phoneticPr fontId="4" type="noConversion"/>
  </si>
  <si>
    <t>예비비</t>
    <phoneticPr fontId="4" type="noConversion"/>
  </si>
  <si>
    <t xml:space="preserve">    4) 후원금 세출내역  </t>
    <phoneticPr fontId="4" type="noConversion"/>
  </si>
  <si>
    <t>직접</t>
    <phoneticPr fontId="4" type="noConversion"/>
  </si>
  <si>
    <t>간접</t>
    <phoneticPr fontId="4" type="noConversion"/>
  </si>
  <si>
    <t>식당보조원 1명(1일 100,000 X 월6일) X 12개월</t>
    <phoneticPr fontId="4" type="noConversion"/>
  </si>
  <si>
    <t>직원 처우개선비에 따른 연장근로수당</t>
    <phoneticPr fontId="4" type="noConversion"/>
  </si>
  <si>
    <t>자가운전보조금</t>
    <phoneticPr fontId="4" type="noConversion"/>
  </si>
  <si>
    <t>특수근무수당(도)</t>
    <phoneticPr fontId="4" type="noConversion"/>
  </si>
  <si>
    <t>처우개선비</t>
    <phoneticPr fontId="4" type="noConversion"/>
  </si>
  <si>
    <t>보전수당</t>
    <phoneticPr fontId="4" type="noConversion"/>
  </si>
  <si>
    <t>보험료산출</t>
    <phoneticPr fontId="4" type="noConversion"/>
  </si>
  <si>
    <t>건강보험
부담금</t>
    <phoneticPr fontId="4" type="noConversion"/>
  </si>
  <si>
    <t xml:space="preserve">건강보험보험료 : 3,000,000원*3.335% = 100,050원
장기요양보험료 :   100,050원*10.25% =  10,260원                                             </t>
    <phoneticPr fontId="4" type="noConversion"/>
  </si>
  <si>
    <t>고용보험
부담금</t>
    <phoneticPr fontId="4" type="noConversion"/>
  </si>
  <si>
    <t>고용보험료 : 5,000,000원*0.9% = 45,000원</t>
    <phoneticPr fontId="4" type="noConversion"/>
  </si>
  <si>
    <t>산재보험
부담금</t>
    <phoneticPr fontId="4" type="noConversion"/>
  </si>
  <si>
    <t>산재보험료 : 5,000,000원*0.8% = 40,000원</t>
    <phoneticPr fontId="4" type="noConversion"/>
  </si>
  <si>
    <t xml:space="preserve"> 직원 동아리지원 및 역량강화훈련비,보수교육비 등 </t>
    <phoneticPr fontId="4" type="noConversion"/>
  </si>
  <si>
    <t xml:space="preserve"> 교육참가비 및 여비 등</t>
    <phoneticPr fontId="4" type="noConversion"/>
  </si>
  <si>
    <t xml:space="preserve"> CMS관리/소모품구입</t>
    <phoneticPr fontId="4" type="noConversion"/>
  </si>
  <si>
    <t xml:space="preserve"> 기관홍보물제작,소식지 제작</t>
    <phoneticPr fontId="4" type="noConversion"/>
  </si>
  <si>
    <t xml:space="preserve"> 전기,전화,수도요금.DM발송,우편물발송요금 등 </t>
    <phoneticPr fontId="4" type="noConversion"/>
  </si>
  <si>
    <t xml:space="preserve"> 음식물배상보험, 가스안전보험, 협회비 보험료 등 </t>
    <phoneticPr fontId="4" type="noConversion"/>
  </si>
  <si>
    <t>기관보유차량 유류비용 및 점검등 유지비용</t>
    <phoneticPr fontId="4" type="noConversion"/>
  </si>
  <si>
    <t>종사자 단체복 구입등</t>
    <phoneticPr fontId="4" type="noConversion"/>
  </si>
  <si>
    <t>재산
조성비</t>
    <phoneticPr fontId="4" type="noConversion"/>
  </si>
  <si>
    <t xml:space="preserve">이용인생활동 가구, 음식물처리기,식기세척기,전기오븐등 10년이상 사용된 노후설비기구 교체비용및 업무용차량 구입할부금 </t>
    <phoneticPr fontId="4" type="noConversion"/>
  </si>
  <si>
    <t xml:space="preserve"> 전기안전점검료, 정화조유지비,승강기유지비 등</t>
    <phoneticPr fontId="4" type="noConversion"/>
  </si>
  <si>
    <t>수용기관
경비</t>
    <phoneticPr fontId="4" type="noConversion"/>
  </si>
  <si>
    <t>장의비</t>
    <phoneticPr fontId="4" type="noConversion"/>
  </si>
  <si>
    <t xml:space="preserve"> 생활장애인의 교육 및 교양함양을 위한 교재/도서 구입비</t>
    <phoneticPr fontId="4" type="noConversion"/>
  </si>
  <si>
    <t>재활프로그램
사업비</t>
    <phoneticPr fontId="4" type="noConversion"/>
  </si>
  <si>
    <t>2020년 재활프로그램 중증장애인의 직업능력개발을 위한 목공프로그램 “우드잡 woodjob” 선정</t>
  </si>
  <si>
    <t xml:space="preserve"> 기능보강사업 직업재활프로그램실 증축공사종료</t>
    <phoneticPr fontId="4" type="noConversion"/>
  </si>
  <si>
    <t>결연
사업비</t>
    <phoneticPr fontId="4" type="noConversion"/>
  </si>
  <si>
    <t>과년도
지출</t>
    <phoneticPr fontId="4" type="noConversion"/>
  </si>
  <si>
    <t>일용직인건비등 2019년 미지급분정산</t>
    <phoneticPr fontId="4" type="noConversion"/>
  </si>
  <si>
    <t>예비비
및기타</t>
    <phoneticPr fontId="4" type="noConversion"/>
  </si>
  <si>
    <t>반환금</t>
    <phoneticPr fontId="4" type="noConversion"/>
  </si>
  <si>
    <t>공동모금회   사업비반환</t>
    <phoneticPr fontId="4" type="noConversion"/>
  </si>
  <si>
    <t>=</t>
  </si>
  <si>
    <t>* 7종 인  건  비   :       1,130,537,650원
* 연장추가지원수당 :       27,243,420원
* 차량운영비  :                  3,600,000원
* 간병인비 :                      3,000,000원
* 4종 운영지원보조금 :    32,840,000원
* 기능보강사업비 :            2,090,000원</t>
    <phoneticPr fontId="4" type="noConversion"/>
  </si>
  <si>
    <t>마. 세입·세출 개요</t>
    <phoneticPr fontId="4" type="noConversion"/>
  </si>
  <si>
    <t>구    분</t>
    <phoneticPr fontId="4" type="noConversion"/>
  </si>
  <si>
    <t>세           입</t>
    <phoneticPr fontId="4" type="noConversion"/>
  </si>
  <si>
    <t>세            출</t>
    <phoneticPr fontId="4" type="noConversion"/>
  </si>
  <si>
    <t>총    계</t>
    <phoneticPr fontId="4" type="noConversion"/>
  </si>
  <si>
    <t>보  조  금</t>
    <phoneticPr fontId="4" type="noConversion"/>
  </si>
  <si>
    <t>국고보조금</t>
    <phoneticPr fontId="4" type="noConversion"/>
  </si>
  <si>
    <t>-</t>
    <phoneticPr fontId="4" type="noConversion"/>
  </si>
  <si>
    <t>자  부  담</t>
    <phoneticPr fontId="4" type="noConversion"/>
  </si>
  <si>
    <t>입소자부담금수입</t>
    <phoneticPr fontId="4" type="noConversion"/>
  </si>
  <si>
    <t xml:space="preserve">후  원  금 </t>
    <phoneticPr fontId="4" type="noConversion"/>
  </si>
  <si>
    <t>지정후원금수입</t>
    <phoneticPr fontId="4" type="noConversion"/>
  </si>
  <si>
    <t>비지정후원금수입</t>
    <phoneticPr fontId="4" type="noConversion"/>
  </si>
  <si>
    <t>전년도후원금이월금</t>
    <phoneticPr fontId="4" type="noConversion"/>
  </si>
  <si>
    <t>시도보조금</t>
    <phoneticPr fontId="7" type="noConversion"/>
  </si>
  <si>
    <t>기타보조금</t>
    <phoneticPr fontId="4" type="noConversion"/>
  </si>
  <si>
    <t>실제근무반영 연장수당, 가족수당 증액</t>
    <phoneticPr fontId="4" type="noConversion"/>
  </si>
  <si>
    <t>종사자 인건비에 의한 예산증액</t>
    <phoneticPr fontId="4" type="noConversion"/>
  </si>
  <si>
    <t>코로나19로 인한 회의축소에 따른 예산감액</t>
    <phoneticPr fontId="4" type="noConversion"/>
  </si>
  <si>
    <t>*2020년 종사자인건비 지원기준에 따른 호봉산정
*교대인력 12명추가지원에 따른 예산액 증액</t>
    <phoneticPr fontId="4" type="noConversion"/>
  </si>
  <si>
    <t xml:space="preserve">2020년 종사자 인건비 지원기준에 따른 호봉산정 </t>
    <phoneticPr fontId="4" type="noConversion"/>
  </si>
  <si>
    <t>7종운영지원 종사자(운전원,조리원,생활지도원) 2020년 종사자 인건비 지원기준에 따른 호봉산정</t>
    <phoneticPr fontId="4" type="noConversion"/>
  </si>
  <si>
    <t>코로나19로 인한 각종행사취소등으로예산감액</t>
    <phoneticPr fontId="4" type="noConversion"/>
  </si>
  <si>
    <t>- 생활동노후가구교체(31,308,000원),
- 이미용실환경조성이미용의자(2,387,000원),
- 식기세척기구입(13,200,000원),
- 컨벤션오븐구입(18,700,000원),
- 준아홀 냉난방기 구입(5,720,000원),
- 준아홀 펠넷난로구입(3,660,000원)
- 음식물처리기 할부금(매월330,000원),
- 경차모닝구입할부금(매월292,287원),
- 12인승스타렉스할부금(매월719,824원),
- 25인승 버스할부금(4월까지 1,047,100원)등
  기기구입및 매월할부금등에 의한 예산증액</t>
    <phoneticPr fontId="4" type="noConversion"/>
  </si>
  <si>
    <t>수급자 변동 및 생계비지원 증액에의한 예산 편성</t>
    <phoneticPr fontId="4" type="noConversion"/>
  </si>
  <si>
    <t>교구수해복구지정후원금 
예산증액</t>
    <phoneticPr fontId="4" type="noConversion"/>
  </si>
  <si>
    <t>결원후원자 증원에 의한 예산증액</t>
    <phoneticPr fontId="4" type="noConversion"/>
  </si>
  <si>
    <t>2019년 보조금반환액</t>
    <phoneticPr fontId="4" type="noConversion"/>
  </si>
  <si>
    <t xml:space="preserve">  바.  증감사유</t>
    <phoneticPr fontId="4" type="noConversion"/>
  </si>
  <si>
    <t>육아휴직종사자 복직에따른 고용노동부 기업지원금 예산편성</t>
    <phoneticPr fontId="4" type="noConversion"/>
  </si>
  <si>
    <t>건강보험인상 및 종사자정원 증원에  따른 실지급액대비 예산증액</t>
    <phoneticPr fontId="4" type="noConversion"/>
  </si>
  <si>
    <t>코로나19로 인한 온라인교육
전환등으로 예산감액</t>
    <phoneticPr fontId="4" type="noConversion"/>
  </si>
  <si>
    <t>자산취득비 부족분 충당 
시설비 예산감액</t>
    <phoneticPr fontId="4" type="noConversion"/>
  </si>
  <si>
    <t>코로나19로 인한 문화체험취소등 
외부활동 감소로 인한 예산 감액</t>
    <phoneticPr fontId="4" type="noConversion"/>
  </si>
  <si>
    <t>사회심리
재활사업비</t>
    <phoneticPr fontId="7" type="noConversion"/>
  </si>
  <si>
    <t>2020년도</t>
    <phoneticPr fontId="4" type="noConversion"/>
  </si>
  <si>
    <t>2020년 1차 추가경정</t>
    <phoneticPr fontId="4" type="noConversion"/>
  </si>
  <si>
    <t xml:space="preserve"> 세입ㆍ세출 예산서(안)</t>
  </si>
  <si>
    <t>천주교수원교구사회복지회</t>
    <phoneticPr fontId="4" type="noConversion"/>
  </si>
  <si>
    <t>둘 다 섯 해 누 리</t>
    <phoneticPr fontId="4" type="noConversion"/>
  </si>
  <si>
    <t>국도시보조금
(70%)</t>
    <phoneticPr fontId="4" type="noConversion"/>
  </si>
  <si>
    <t>시도보조금
(30%)</t>
    <phoneticPr fontId="4" type="noConversion"/>
  </si>
  <si>
    <t>시도보조금
(100%)</t>
    <phoneticPr fontId="4" type="noConversion"/>
  </si>
  <si>
    <t>코로나19로 인한 외부활동 감소에 따른
예산감액</t>
    <phoneticPr fontId="4" type="noConversion"/>
  </si>
  <si>
    <t>사무비운영비</t>
    <phoneticPr fontId="4" type="noConversion"/>
  </si>
  <si>
    <t>사업비운영비</t>
    <phoneticPr fontId="4" type="noConversion"/>
  </si>
  <si>
    <t>업무추진비</t>
    <phoneticPr fontId="7" type="noConversion"/>
  </si>
  <si>
    <t>기타보조금</t>
    <phoneticPr fontId="7" type="noConversion"/>
  </si>
  <si>
    <t>이월금</t>
    <phoneticPr fontId="7" type="noConversion"/>
  </si>
  <si>
    <t>잡수입</t>
    <phoneticPr fontId="7" type="noConversion"/>
  </si>
  <si>
    <t>-</t>
    <phoneticPr fontId="7" type="noConversion"/>
  </si>
  <si>
    <t>보조금수입</t>
    <phoneticPr fontId="4" type="noConversion"/>
  </si>
  <si>
    <t>증감율(%)
(C/A*100)</t>
    <phoneticPr fontId="4" type="noConversion"/>
  </si>
  <si>
    <t>X</t>
    <phoneticPr fontId="4" type="noConversion"/>
  </si>
  <si>
    <t>이기수</t>
    <phoneticPr fontId="7" type="noConversion"/>
  </si>
  <si>
    <t>사무국장</t>
    <phoneticPr fontId="7" type="noConversion"/>
  </si>
  <si>
    <t>과장</t>
    <phoneticPr fontId="7" type="noConversion"/>
  </si>
  <si>
    <t>팀장</t>
    <phoneticPr fontId="7" type="noConversion"/>
  </si>
  <si>
    <t>상담평가원</t>
    <phoneticPr fontId="7" type="noConversion"/>
  </si>
  <si>
    <t>영양사</t>
    <phoneticPr fontId="7" type="noConversion"/>
  </si>
  <si>
    <t>금형민</t>
    <phoneticPr fontId="7" type="noConversion"/>
  </si>
  <si>
    <t>김정윤</t>
    <phoneticPr fontId="7" type="noConversion"/>
  </si>
  <si>
    <t>김혜영</t>
    <phoneticPr fontId="7" type="noConversion"/>
  </si>
  <si>
    <t>시설장</t>
    <phoneticPr fontId="7" type="noConversion"/>
  </si>
  <si>
    <t>선임지도원</t>
    <phoneticPr fontId="7" type="noConversion"/>
  </si>
  <si>
    <t>이선이</t>
    <phoneticPr fontId="7" type="noConversion"/>
  </si>
  <si>
    <t>간호사</t>
    <phoneticPr fontId="7" type="noConversion"/>
  </si>
  <si>
    <t>전광숙</t>
    <phoneticPr fontId="7" type="noConversion"/>
  </si>
  <si>
    <t>엄광식</t>
    <phoneticPr fontId="7" type="noConversion"/>
  </si>
  <si>
    <t>언어치료사</t>
    <phoneticPr fontId="7" type="noConversion"/>
  </si>
  <si>
    <t>최민성</t>
    <phoneticPr fontId="7" type="noConversion"/>
  </si>
  <si>
    <t>작업치료사</t>
    <phoneticPr fontId="7" type="noConversion"/>
  </si>
  <si>
    <t>이민지</t>
    <phoneticPr fontId="7" type="noConversion"/>
  </si>
  <si>
    <t>이동철</t>
    <phoneticPr fontId="7" type="noConversion"/>
  </si>
  <si>
    <t>김효선</t>
    <phoneticPr fontId="7" type="noConversion"/>
  </si>
  <si>
    <t>물리치료사</t>
    <phoneticPr fontId="7" type="noConversion"/>
  </si>
  <si>
    <t>사회재활교사</t>
    <phoneticPr fontId="7" type="noConversion"/>
  </si>
  <si>
    <t>이성수</t>
    <phoneticPr fontId="7" type="noConversion"/>
  </si>
  <si>
    <t>심영은</t>
    <phoneticPr fontId="7" type="noConversion"/>
  </si>
  <si>
    <t>사무원</t>
    <phoneticPr fontId="7" type="noConversion"/>
  </si>
  <si>
    <t>유준</t>
    <phoneticPr fontId="7" type="noConversion"/>
  </si>
  <si>
    <t>생활지도원</t>
    <phoneticPr fontId="7" type="noConversion"/>
  </si>
  <si>
    <t>신희철</t>
    <phoneticPr fontId="7" type="noConversion"/>
  </si>
  <si>
    <t>홍은향</t>
    <phoneticPr fontId="7" type="noConversion"/>
  </si>
  <si>
    <t>이도란</t>
    <phoneticPr fontId="7" type="noConversion"/>
  </si>
  <si>
    <t>윤용진</t>
    <phoneticPr fontId="7" type="noConversion"/>
  </si>
  <si>
    <t>김종민</t>
    <phoneticPr fontId="7" type="noConversion"/>
  </si>
  <si>
    <t>권구철</t>
    <phoneticPr fontId="7" type="noConversion"/>
  </si>
  <si>
    <t>김유경</t>
    <phoneticPr fontId="7" type="noConversion"/>
  </si>
  <si>
    <t>문슬기</t>
    <phoneticPr fontId="7" type="noConversion"/>
  </si>
  <si>
    <t>유선주</t>
    <phoneticPr fontId="7" type="noConversion"/>
  </si>
  <si>
    <t>민병선</t>
    <phoneticPr fontId="7" type="noConversion"/>
  </si>
  <si>
    <t>조원일</t>
    <phoneticPr fontId="7" type="noConversion"/>
  </si>
  <si>
    <t>한상수</t>
    <phoneticPr fontId="7" type="noConversion"/>
  </si>
  <si>
    <t>심종환</t>
    <phoneticPr fontId="7" type="noConversion"/>
  </si>
  <si>
    <t>박영규</t>
    <phoneticPr fontId="7" type="noConversion"/>
  </si>
  <si>
    <t>이상헌</t>
    <phoneticPr fontId="7" type="noConversion"/>
  </si>
  <si>
    <t>윤민</t>
    <phoneticPr fontId="7" type="noConversion"/>
  </si>
  <si>
    <t>서용욱</t>
    <phoneticPr fontId="7" type="noConversion"/>
  </si>
  <si>
    <t>김형권</t>
    <phoneticPr fontId="7" type="noConversion"/>
  </si>
  <si>
    <t>이재훈</t>
    <phoneticPr fontId="7" type="noConversion"/>
  </si>
  <si>
    <t>임지혜</t>
    <phoneticPr fontId="7" type="noConversion"/>
  </si>
  <si>
    <t>김형배</t>
    <phoneticPr fontId="7" type="noConversion"/>
  </si>
  <si>
    <t>한승희</t>
    <phoneticPr fontId="7" type="noConversion"/>
  </si>
  <si>
    <t>박민들</t>
    <phoneticPr fontId="7" type="noConversion"/>
  </si>
  <si>
    <t>박지웅</t>
    <phoneticPr fontId="7" type="noConversion"/>
  </si>
  <si>
    <t>이혜란</t>
    <phoneticPr fontId="7" type="noConversion"/>
  </si>
  <si>
    <t>김도아</t>
    <phoneticPr fontId="7" type="noConversion"/>
  </si>
  <si>
    <t>이충현</t>
    <phoneticPr fontId="7" type="noConversion"/>
  </si>
  <si>
    <t>박은혜</t>
    <phoneticPr fontId="7" type="noConversion"/>
  </si>
  <si>
    <t>김형균</t>
    <phoneticPr fontId="7" type="noConversion"/>
  </si>
  <si>
    <t>김민제</t>
    <phoneticPr fontId="7" type="noConversion"/>
  </si>
  <si>
    <t>하종호</t>
    <phoneticPr fontId="7" type="noConversion"/>
  </si>
  <si>
    <t>남택림</t>
    <phoneticPr fontId="7" type="noConversion"/>
  </si>
  <si>
    <t>김보경</t>
    <phoneticPr fontId="7" type="noConversion"/>
  </si>
  <si>
    <t>이건엽</t>
    <phoneticPr fontId="7" type="noConversion"/>
  </si>
  <si>
    <t>정택진</t>
    <phoneticPr fontId="7" type="noConversion"/>
  </si>
  <si>
    <t>이슬</t>
    <phoneticPr fontId="7" type="noConversion"/>
  </si>
  <si>
    <t>한찬혁</t>
    <phoneticPr fontId="7" type="noConversion"/>
  </si>
  <si>
    <t>최동운</t>
    <phoneticPr fontId="7" type="noConversion"/>
  </si>
  <si>
    <t>송혜인</t>
    <phoneticPr fontId="7" type="noConversion"/>
  </si>
  <si>
    <t>이순옥</t>
    <phoneticPr fontId="7" type="noConversion"/>
  </si>
  <si>
    <t>이미영</t>
    <phoneticPr fontId="7" type="noConversion"/>
  </si>
  <si>
    <t>정순정</t>
    <phoneticPr fontId="7" type="noConversion"/>
  </si>
  <si>
    <t>최미란</t>
    <phoneticPr fontId="7" type="noConversion"/>
  </si>
  <si>
    <t>오혜은</t>
    <phoneticPr fontId="7" type="noConversion"/>
  </si>
  <si>
    <t>박제석</t>
    <phoneticPr fontId="7" type="noConversion"/>
  </si>
  <si>
    <t>운전원</t>
    <phoneticPr fontId="7" type="noConversion"/>
  </si>
  <si>
    <t>유동식</t>
    <phoneticPr fontId="7" type="noConversion"/>
  </si>
  <si>
    <t>윤인자</t>
    <phoneticPr fontId="7" type="noConversion"/>
  </si>
  <si>
    <t>전상돈</t>
    <phoneticPr fontId="7" type="noConversion"/>
  </si>
  <si>
    <t>이민지</t>
    <phoneticPr fontId="7" type="noConversion"/>
  </si>
  <si>
    <t>구현우</t>
    <phoneticPr fontId="7" type="noConversion"/>
  </si>
  <si>
    <t>권지수</t>
    <phoneticPr fontId="7" type="noConversion"/>
  </si>
  <si>
    <t>김효주</t>
    <phoneticPr fontId="7" type="noConversion"/>
  </si>
  <si>
    <t>이현경</t>
    <phoneticPr fontId="7" type="noConversion"/>
  </si>
  <si>
    <t>오권호</t>
    <phoneticPr fontId="7" type="noConversion"/>
  </si>
  <si>
    <t>이성진</t>
    <phoneticPr fontId="7" type="noConversion"/>
  </si>
  <si>
    <t>명은아</t>
    <phoneticPr fontId="7" type="noConversion"/>
  </si>
  <si>
    <t>김철진</t>
    <phoneticPr fontId="7" type="noConversion"/>
  </si>
  <si>
    <t>이풍원</t>
    <phoneticPr fontId="7" type="noConversion"/>
  </si>
  <si>
    <t>김현욱</t>
    <phoneticPr fontId="7" type="noConversion"/>
  </si>
  <si>
    <t>후원금</t>
    <phoneticPr fontId="7" type="noConversion"/>
  </si>
  <si>
    <t>예비</t>
    <phoneticPr fontId="7" type="noConversion"/>
  </si>
  <si>
    <t>예비</t>
    <phoneticPr fontId="7" type="noConversion"/>
  </si>
  <si>
    <t>명절휴가비</t>
    <phoneticPr fontId="7" type="noConversion"/>
  </si>
  <si>
    <t>연장수당</t>
    <phoneticPr fontId="7" type="noConversion"/>
  </si>
  <si>
    <t>X</t>
  </si>
  <si>
    <t>1/12</t>
  </si>
  <si>
    <t>보조금</t>
    <phoneticPr fontId="7" type="noConversion"/>
  </si>
  <si>
    <t>자부담</t>
    <phoneticPr fontId="7" type="noConversion"/>
  </si>
  <si>
    <t>국민연금</t>
  </si>
  <si>
    <t>고용보험</t>
  </si>
  <si>
    <t>산재보험</t>
  </si>
  <si>
    <t>보조금
건강보험</t>
    <phoneticPr fontId="7" type="noConversion"/>
  </si>
  <si>
    <t>자부담
건강보험</t>
    <phoneticPr fontId="7" type="noConversion"/>
  </si>
  <si>
    <t>자부담
장기요양</t>
    <phoneticPr fontId="7" type="noConversion"/>
  </si>
  <si>
    <t>보조금
장기요양</t>
    <phoneticPr fontId="7" type="noConversion"/>
  </si>
  <si>
    <t>보조금
고용보험</t>
    <phoneticPr fontId="7" type="noConversion"/>
  </si>
  <si>
    <t>자부담
고용보험</t>
    <phoneticPr fontId="7" type="noConversion"/>
  </si>
  <si>
    <t>보조금
산재보험</t>
    <phoneticPr fontId="7" type="noConversion"/>
  </si>
  <si>
    <t>자부담
산재보험</t>
    <phoneticPr fontId="7" type="noConversion"/>
  </si>
  <si>
    <t>건강보험료</t>
    <phoneticPr fontId="7" type="noConversion"/>
  </si>
  <si>
    <t>종사자간식제공</t>
    <phoneticPr fontId="7" type="noConversion"/>
  </si>
  <si>
    <t>설,추석명절선물구입</t>
    <phoneticPr fontId="7" type="noConversion"/>
  </si>
  <si>
    <t>종사자보증보험가입</t>
    <phoneticPr fontId="7" type="noConversion"/>
  </si>
  <si>
    <t>교대근무자건강검진비</t>
    <phoneticPr fontId="7" type="noConversion"/>
  </si>
  <si>
    <t>기관다리어리구입비용</t>
    <phoneticPr fontId="7" type="noConversion"/>
  </si>
  <si>
    <t>상하반기워크숍경비</t>
    <phoneticPr fontId="7" type="noConversion"/>
  </si>
  <si>
    <t>직원명함제작</t>
    <phoneticPr fontId="7" type="noConversion"/>
  </si>
  <si>
    <t>직원단체상해공제</t>
    <phoneticPr fontId="7" type="noConversion"/>
  </si>
  <si>
    <t>직원체육대회경비</t>
    <phoneticPr fontId="7" type="noConversion"/>
  </si>
  <si>
    <t>인권교육실시경비</t>
    <phoneticPr fontId="7" type="noConversion"/>
  </si>
  <si>
    <t>기타후생경비</t>
    <phoneticPr fontId="7" type="noConversion"/>
  </si>
  <si>
    <t>운영위원회등 회의비</t>
    <phoneticPr fontId="7" type="noConversion"/>
  </si>
  <si>
    <t>종사자보수교육등  교육참가비</t>
    <phoneticPr fontId="7" type="noConversion"/>
  </si>
  <si>
    <t>사회보험
부담금계</t>
    <phoneticPr fontId="7" type="noConversion"/>
  </si>
  <si>
    <t>후원금
건강보험</t>
    <phoneticPr fontId="7" type="noConversion"/>
  </si>
  <si>
    <t>후원금
장기요양</t>
    <phoneticPr fontId="7" type="noConversion"/>
  </si>
  <si>
    <t>후원금
고용보험</t>
    <phoneticPr fontId="7" type="noConversion"/>
  </si>
  <si>
    <t>후원금
산재보험</t>
    <phoneticPr fontId="7" type="noConversion"/>
  </si>
  <si>
    <t>유료입소/이월금</t>
  </si>
  <si>
    <t>법인전입/이월금</t>
  </si>
  <si>
    <t>잡수입/불용품/이월금</t>
  </si>
  <si>
    <t>종사자식대/이월금</t>
  </si>
  <si>
    <t>예금이자/이월금</t>
  </si>
  <si>
    <t>자부담 합계액</t>
    <phoneticPr fontId="7" type="noConversion"/>
  </si>
  <si>
    <t xml:space="preserve"> * 비지정후원금 이월금    (18,629,586원),
 * 지정후원금 이월금       (  3,008,670원), 
 * 후원금예금이자 이월금 (    원).</t>
    <phoneticPr fontId="4" type="noConversion"/>
  </si>
  <si>
    <t>지정후원금/이월금</t>
    <phoneticPr fontId="7" type="noConversion"/>
  </si>
  <si>
    <t>비지정/이월금</t>
    <phoneticPr fontId="7" type="noConversion"/>
  </si>
  <si>
    <t>예금이자/이월금</t>
    <phoneticPr fontId="7" type="noConversion"/>
  </si>
  <si>
    <t>장기요양보험</t>
    <phoneticPr fontId="7" type="noConversion"/>
  </si>
  <si>
    <t>개인별 시간외 시급계산 : 기본급X1/209X1.5</t>
  </si>
  <si>
    <t>연장추가지원수당</t>
  </si>
  <si>
    <t>이기수</t>
    <phoneticPr fontId="7" type="noConversion"/>
  </si>
  <si>
    <t>김혜영</t>
    <phoneticPr fontId="7" type="noConversion"/>
  </si>
  <si>
    <t>이선이</t>
    <phoneticPr fontId="7" type="noConversion"/>
  </si>
  <si>
    <t>엄광식</t>
    <phoneticPr fontId="7" type="noConversion"/>
  </si>
  <si>
    <t>이동철</t>
  </si>
  <si>
    <t>생활지도원</t>
    <phoneticPr fontId="7" type="noConversion"/>
  </si>
  <si>
    <t>문슬기</t>
    <phoneticPr fontId="7" type="noConversion"/>
  </si>
  <si>
    <t>조원일</t>
    <phoneticPr fontId="7" type="noConversion"/>
  </si>
  <si>
    <t>운전원</t>
    <phoneticPr fontId="7" type="noConversion"/>
  </si>
  <si>
    <t>(7종)</t>
  </si>
  <si>
    <t>간호사</t>
  </si>
  <si>
    <t>팀장</t>
  </si>
  <si>
    <t>전광숙</t>
  </si>
  <si>
    <t>이민지</t>
  </si>
  <si>
    <t>(교대)</t>
  </si>
  <si>
    <t>주말조리원</t>
  </si>
  <si>
    <t>일용잡급</t>
  </si>
  <si>
    <t>내방객접대용 차류구입</t>
    <phoneticPr fontId="7" type="noConversion"/>
  </si>
  <si>
    <t>공기청정기임대료</t>
    <phoneticPr fontId="7" type="noConversion"/>
  </si>
  <si>
    <t>기관정수기임대료(7대)</t>
    <phoneticPr fontId="7" type="noConversion"/>
  </si>
  <si>
    <t>기관안마의자 임대료(2대)</t>
    <phoneticPr fontId="7" type="noConversion"/>
  </si>
  <si>
    <t>전자결재유지비용</t>
    <phoneticPr fontId="7" type="noConversion"/>
  </si>
  <si>
    <t>기관복사기(3대), 프린터기(1대)임대료</t>
    <phoneticPr fontId="7" type="noConversion"/>
  </si>
  <si>
    <t>기관홈페이지유지보수비용</t>
    <phoneticPr fontId="7" type="noConversion"/>
  </si>
  <si>
    <t>기관소식지제작비용</t>
    <phoneticPr fontId="7" type="noConversion"/>
  </si>
  <si>
    <t>기관소봉투인쇄비용</t>
    <phoneticPr fontId="7" type="noConversion"/>
  </si>
  <si>
    <t>사무용품구입</t>
    <phoneticPr fontId="7" type="noConversion"/>
  </si>
  <si>
    <t>기관내극장상영용 영화구입</t>
    <phoneticPr fontId="7" type="noConversion"/>
  </si>
  <si>
    <t>후원자 감사문자알림문자구입</t>
    <phoneticPr fontId="7" type="noConversion"/>
  </si>
  <si>
    <t>CMS사용료 및 수수료</t>
    <phoneticPr fontId="7" type="noConversion"/>
  </si>
  <si>
    <t>신문구독료</t>
    <phoneticPr fontId="7" type="noConversion"/>
  </si>
  <si>
    <t>종량제 봉투및폐기물스티커등구입</t>
    <phoneticPr fontId="7" type="noConversion"/>
  </si>
  <si>
    <t>기타 소모품 구입</t>
    <phoneticPr fontId="7" type="noConversion"/>
  </si>
  <si>
    <t>전기요금</t>
    <phoneticPr fontId="7" type="noConversion"/>
  </si>
  <si>
    <t>수도요금</t>
    <phoneticPr fontId="7" type="noConversion"/>
  </si>
  <si>
    <t>전화요금</t>
    <phoneticPr fontId="7" type="noConversion"/>
  </si>
  <si>
    <t>인터넷요금</t>
    <phoneticPr fontId="7" type="noConversion"/>
  </si>
  <si>
    <t>소식지발송요금</t>
    <phoneticPr fontId="7" type="noConversion"/>
  </si>
  <si>
    <t>가정통신문들 우편물발송요금</t>
    <phoneticPr fontId="7" type="noConversion"/>
  </si>
  <si>
    <t>한장협협회비</t>
    <phoneticPr fontId="7" type="noConversion"/>
  </si>
  <si>
    <t>경장협협회비</t>
    <phoneticPr fontId="7" type="noConversion"/>
  </si>
  <si>
    <t>기관차량(8대)보험료</t>
    <phoneticPr fontId="7" type="noConversion"/>
  </si>
  <si>
    <t>기관종합안전배상공제보험</t>
    <phoneticPr fontId="7" type="noConversion"/>
  </si>
  <si>
    <t>화재보험료</t>
    <phoneticPr fontId="7" type="noConversion"/>
  </si>
  <si>
    <t>퇴직연금운용수수료</t>
    <phoneticPr fontId="7" type="noConversion"/>
  </si>
  <si>
    <t>기관차량자동차세</t>
    <phoneticPr fontId="7" type="noConversion"/>
  </si>
  <si>
    <t>기타제세공과금</t>
    <phoneticPr fontId="7" type="noConversion"/>
  </si>
  <si>
    <t>기관차량주유비</t>
    <phoneticPr fontId="7" type="noConversion"/>
  </si>
  <si>
    <t>기관차량정비</t>
    <phoneticPr fontId="7" type="noConversion"/>
  </si>
  <si>
    <t>종사자 근무복</t>
    <phoneticPr fontId="7" type="noConversion"/>
  </si>
  <si>
    <t>개원기념행사</t>
    <phoneticPr fontId="7" type="noConversion"/>
  </si>
  <si>
    <t>외부출장소요경비</t>
    <phoneticPr fontId="7" type="noConversion"/>
  </si>
  <si>
    <t>25인승버스구입할부금</t>
    <phoneticPr fontId="7" type="noConversion"/>
  </si>
  <si>
    <t>기관차량모닝구입계약금</t>
    <phoneticPr fontId="7" type="noConversion"/>
  </si>
  <si>
    <t>모님할부금</t>
    <phoneticPr fontId="7" type="noConversion"/>
  </si>
  <si>
    <t>스타렉스구입계약금</t>
    <phoneticPr fontId="7" type="noConversion"/>
  </si>
  <si>
    <t>스타렉스할부금</t>
    <phoneticPr fontId="7" type="noConversion"/>
  </si>
  <si>
    <t>식당오븐구입</t>
    <phoneticPr fontId="7" type="noConversion"/>
  </si>
  <si>
    <t>음식물처리기할부금</t>
    <phoneticPr fontId="7" type="noConversion"/>
  </si>
  <si>
    <t>이용인 거주공간개선 가구구입</t>
    <phoneticPr fontId="7" type="noConversion"/>
  </si>
  <si>
    <t>식기세척기구입</t>
    <phoneticPr fontId="7" type="noConversion"/>
  </si>
  <si>
    <t>이미용의자세트구입</t>
    <phoneticPr fontId="7" type="noConversion"/>
  </si>
  <si>
    <t>준아홀냉난방기구입</t>
    <phoneticPr fontId="7" type="noConversion"/>
  </si>
  <si>
    <t>준아홀펠렛난로구입</t>
    <phoneticPr fontId="7" type="noConversion"/>
  </si>
  <si>
    <t>보존식냉장고구입</t>
    <phoneticPr fontId="7" type="noConversion"/>
  </si>
  <si>
    <t>문서보관용 서버 NAS구입</t>
    <phoneticPr fontId="7" type="noConversion"/>
  </si>
  <si>
    <t>기타장비구입예정</t>
    <phoneticPr fontId="7" type="noConversion"/>
  </si>
  <si>
    <t>지열시스템유지보수비</t>
    <phoneticPr fontId="7" type="noConversion"/>
  </si>
  <si>
    <t>◆급여</t>
  </si>
  <si>
    <t>◆일용잡급</t>
  </si>
  <si>
    <t>◆제수당</t>
  </si>
  <si>
    <t>◆사회보험부담비용</t>
  </si>
  <si>
    <t>◆퇴직금 및 퇴직적립금</t>
  </si>
  <si>
    <t>◆기타후생경비</t>
  </si>
  <si>
    <t>◆여비</t>
  </si>
  <si>
    <t>◆수용비및수수료</t>
  </si>
  <si>
    <t>◆제세공과금</t>
  </si>
  <si>
    <t>◆차량비</t>
  </si>
  <si>
    <t>◆기타운영비</t>
  </si>
  <si>
    <t>◆시설비</t>
  </si>
  <si>
    <t>◆자산취득비</t>
  </si>
  <si>
    <t>◆시설장비유지비</t>
  </si>
  <si>
    <t>◆공공요금</t>
  </si>
  <si>
    <t>인건비 계</t>
  </si>
  <si>
    <t>사무비 계</t>
  </si>
  <si>
    <t>합계</t>
  </si>
  <si>
    <t>시설비계</t>
  </si>
  <si>
    <t>재산조성비계</t>
  </si>
  <si>
    <t>운영비계</t>
  </si>
  <si>
    <t>업무추진비계</t>
  </si>
  <si>
    <t>◆회의비</t>
  </si>
  <si>
    <t>매월 오수처리비용</t>
    <phoneticPr fontId="7" type="noConversion"/>
  </si>
  <si>
    <t>전기안전점검비용</t>
    <phoneticPr fontId="7" type="noConversion"/>
  </si>
  <si>
    <t>엘리베이터유지보수비용</t>
    <phoneticPr fontId="7" type="noConversion"/>
  </si>
  <si>
    <t>건물방역소독비용</t>
    <phoneticPr fontId="7" type="noConversion"/>
  </si>
  <si>
    <t>코로나예방 방역물품구입</t>
    <phoneticPr fontId="7" type="noConversion"/>
  </si>
  <si>
    <t>기관생활동노후설비교체보수</t>
    <phoneticPr fontId="7" type="noConversion"/>
  </si>
  <si>
    <t>준아홀프로그램실경사로보수</t>
    <phoneticPr fontId="7" type="noConversion"/>
  </si>
  <si>
    <t>수영장여과기 교체등 보수비용</t>
    <phoneticPr fontId="7" type="noConversion"/>
  </si>
  <si>
    <t>미로공원전지작업</t>
    <phoneticPr fontId="7" type="noConversion"/>
  </si>
  <si>
    <t>식당수전등노후설비교체비</t>
    <phoneticPr fontId="7" type="noConversion"/>
  </si>
  <si>
    <t>냉난방기기보수비용</t>
    <phoneticPr fontId="7" type="noConversion"/>
  </si>
  <si>
    <t>관리동 화단보수작업비용</t>
    <phoneticPr fontId="7" type="noConversion"/>
  </si>
  <si>
    <t>소방작동기능점검</t>
    <phoneticPr fontId="7" type="noConversion"/>
  </si>
  <si>
    <t>기관유리창 실리콘 코킹작업</t>
    <phoneticPr fontId="7" type="noConversion"/>
  </si>
  <si>
    <t>노후시설물유지보수비용</t>
    <phoneticPr fontId="7" type="noConversion"/>
  </si>
  <si>
    <t xml:space="preserve"> 이용인주부식비</t>
    <phoneticPr fontId="7" type="noConversion"/>
  </si>
  <si>
    <t>이용인간식비</t>
    <phoneticPr fontId="7" type="noConversion"/>
  </si>
  <si>
    <t>병원진료중중식매식</t>
    <phoneticPr fontId="7" type="noConversion"/>
  </si>
  <si>
    <t>이용인 설명절특별위로금지급</t>
    <phoneticPr fontId="7" type="noConversion"/>
  </si>
  <si>
    <t>이용인 추석명절특별위로금지급</t>
    <phoneticPr fontId="7" type="noConversion"/>
  </si>
  <si>
    <t>이용인 생활용품구입</t>
    <phoneticPr fontId="7" type="noConversion"/>
  </si>
  <si>
    <t>식당위생물품구입</t>
    <phoneticPr fontId="7" type="noConversion"/>
  </si>
  <si>
    <t>코로나예방용 마스크구입</t>
    <phoneticPr fontId="7" type="noConversion"/>
  </si>
  <si>
    <t>기타일상용품구입</t>
    <phoneticPr fontId="7" type="noConversion"/>
  </si>
  <si>
    <t>이용인피복구입</t>
    <phoneticPr fontId="7" type="noConversion"/>
  </si>
  <si>
    <t>이용인의약품구입</t>
    <phoneticPr fontId="7" type="noConversion"/>
  </si>
  <si>
    <t>◆생계비</t>
  </si>
  <si>
    <t>◆수용기관경비</t>
  </si>
  <si>
    <t>◆피복비</t>
  </si>
  <si>
    <t>◆의료비</t>
  </si>
  <si>
    <t>사업비계</t>
  </si>
  <si>
    <t>이용인 매월생일행사비용</t>
    <phoneticPr fontId="7" type="noConversion"/>
  </si>
  <si>
    <t>이용인 친목동아리 소요경비</t>
    <phoneticPr fontId="7" type="noConversion"/>
  </si>
  <si>
    <t>에파타마켓진행 물품구입</t>
    <phoneticPr fontId="7" type="noConversion"/>
  </si>
  <si>
    <t>설민속행사 소요경비</t>
    <phoneticPr fontId="7" type="noConversion"/>
  </si>
  <si>
    <t>휴공방프로그램 물품구입</t>
    <phoneticPr fontId="7" type="noConversion"/>
  </si>
  <si>
    <t xml:space="preserve">재미나개놀아줄개 프로그램 </t>
    <phoneticPr fontId="7" type="noConversion"/>
  </si>
  <si>
    <t>뉴스포츠 물품구입</t>
    <phoneticPr fontId="7" type="noConversion"/>
  </si>
  <si>
    <t>조리프로그램실 물품구입</t>
    <phoneticPr fontId="7" type="noConversion"/>
  </si>
  <si>
    <t>우크렐레프로그램진행경비</t>
    <phoneticPr fontId="7" type="noConversion"/>
  </si>
  <si>
    <t>이용인 그룹활동 진행경비</t>
    <phoneticPr fontId="7" type="noConversion"/>
  </si>
  <si>
    <t>오프로아아트 진행물품구입</t>
    <phoneticPr fontId="7" type="noConversion"/>
  </si>
  <si>
    <t>카페물품구입</t>
    <phoneticPr fontId="7" type="noConversion"/>
  </si>
  <si>
    <t>카페프로그램소요비용</t>
    <phoneticPr fontId="7" type="noConversion"/>
  </si>
  <si>
    <t>해누리FC풋살프로그램물품구입</t>
    <phoneticPr fontId="7" type="noConversion"/>
  </si>
  <si>
    <t>영&amp;쿡 프로그램 소요비용</t>
    <phoneticPr fontId="7" type="noConversion"/>
  </si>
  <si>
    <t>여름캠프소요경비</t>
    <phoneticPr fontId="7" type="noConversion"/>
  </si>
  <si>
    <t>가을여행 소요경비</t>
    <phoneticPr fontId="7" type="noConversion"/>
  </si>
  <si>
    <t>외부문화체험소요경비</t>
    <phoneticPr fontId="7" type="noConversion"/>
  </si>
  <si>
    <t>외부작업장이용 중식비</t>
    <phoneticPr fontId="7" type="noConversion"/>
  </si>
  <si>
    <t>80명</t>
    <phoneticPr fontId="7" type="noConversion"/>
  </si>
  <si>
    <t>4종운영지원 이용인 부식비</t>
    <phoneticPr fontId="7" type="noConversion"/>
  </si>
  <si>
    <t>4종운영지원 이용인 간식비</t>
    <phoneticPr fontId="7" type="noConversion"/>
  </si>
  <si>
    <t>4종운영지원 이용인 피복비</t>
    <phoneticPr fontId="7" type="noConversion"/>
  </si>
  <si>
    <t>4종운영지원 이용인 특별급식비</t>
    <phoneticPr fontId="7" type="noConversion"/>
  </si>
  <si>
    <t>이용인건강검진비</t>
  </si>
  <si>
    <t>◆사회심리재활사업비</t>
  </si>
  <si>
    <t>◆직업재활사업비</t>
  </si>
  <si>
    <t>◆4종운영지원사업비</t>
  </si>
  <si>
    <t>◆7종운영지원사업비</t>
  </si>
  <si>
    <t>◆재활프로그램사업비</t>
  </si>
  <si>
    <t>◆기 능 보 강   사업비</t>
  </si>
  <si>
    <t>7종운영지원 차량운영비</t>
    <phoneticPr fontId="7" type="noConversion"/>
  </si>
  <si>
    <t>7종운영지원 이용인 간병인비</t>
    <phoneticPr fontId="7" type="noConversion"/>
  </si>
  <si>
    <t>2020년 목공프로그램 진행재료비</t>
    <phoneticPr fontId="7" type="noConversion"/>
  </si>
  <si>
    <t>2020년 목공프로그램 실무자회비</t>
    <phoneticPr fontId="7" type="noConversion"/>
  </si>
  <si>
    <t>2020년 목공프로그램 체험비</t>
    <phoneticPr fontId="7" type="noConversion"/>
  </si>
  <si>
    <t>기능보강 공기청정기 렌탈료</t>
    <phoneticPr fontId="7" type="noConversion"/>
  </si>
  <si>
    <t>기능보강 코로나19 예방관련 장비구입</t>
    <phoneticPr fontId="7" type="noConversion"/>
  </si>
  <si>
    <t>이용인 결연후원금</t>
    <phoneticPr fontId="7" type="noConversion"/>
  </si>
  <si>
    <t>결연사업비계</t>
  </si>
  <si>
    <t>◆과년도지출</t>
  </si>
  <si>
    <t>◆잡지출</t>
  </si>
  <si>
    <t>◆보조금반환금</t>
  </si>
  <si>
    <t>2019년 12월 복사기임대료 및 토너구입</t>
    <phoneticPr fontId="7" type="noConversion"/>
  </si>
  <si>
    <t>2019년 12월 CMS 수수료 및 사용료</t>
    <phoneticPr fontId="7" type="noConversion"/>
  </si>
  <si>
    <t>2019년 12월 위생재료비</t>
    <phoneticPr fontId="7" type="noConversion"/>
  </si>
  <si>
    <t>◆결연후원금</t>
  </si>
  <si>
    <t>운영비 보조금 반환금</t>
    <phoneticPr fontId="7" type="noConversion"/>
  </si>
  <si>
    <t>운영비 예금이자 반환금</t>
    <phoneticPr fontId="7" type="noConversion"/>
  </si>
  <si>
    <t>생계비 예금이자 반환금</t>
    <phoneticPr fontId="7" type="noConversion"/>
  </si>
  <si>
    <t>7종 보조금 반환금</t>
    <phoneticPr fontId="7" type="noConversion"/>
  </si>
  <si>
    <t>7종 보조금 예금이자반환금</t>
    <phoneticPr fontId="7" type="noConversion"/>
  </si>
  <si>
    <t>4종 보조금 반환금</t>
    <phoneticPr fontId="7" type="noConversion"/>
  </si>
  <si>
    <t>4종 보조금 예금이자반환금</t>
    <phoneticPr fontId="7" type="noConversion"/>
  </si>
  <si>
    <t>재활프로그램 예금이자 반환금</t>
    <phoneticPr fontId="7" type="noConversion"/>
  </si>
  <si>
    <t xml:space="preserve">  추가지원수당 보조금 반환금</t>
    <phoneticPr fontId="7" type="noConversion"/>
  </si>
  <si>
    <t xml:space="preserve">  추가지원수당 예금이자 반환금</t>
    <phoneticPr fontId="7" type="noConversion"/>
  </si>
  <si>
    <t>기능보강이월금</t>
    <phoneticPr fontId="7" type="noConversion"/>
  </si>
  <si>
    <t>기능보강 예금이자반환금</t>
    <phoneticPr fontId="7" type="noConversion"/>
  </si>
  <si>
    <t>예비비및기타계</t>
  </si>
  <si>
    <t>잡지출계</t>
  </si>
  <si>
    <t>과년도지출계</t>
  </si>
  <si>
    <t>사. 임직원 보수 일람표</t>
    <phoneticPr fontId="4" type="noConversion"/>
  </si>
  <si>
    <t>사. 임직원 보수 일람표</t>
    <phoneticPr fontId="4" type="noConversion"/>
  </si>
  <si>
    <t>사. 임직원 보수 일람표</t>
    <phoneticPr fontId="4" type="noConversion"/>
  </si>
  <si>
    <t>보조금 직원</t>
    <phoneticPr fontId="7" type="noConversion"/>
  </si>
  <si>
    <t>도비 7종 사업 인건비 직원</t>
    <phoneticPr fontId="7" type="noConversion"/>
  </si>
  <si>
    <t>교대인력지원 사업 인건비 직원</t>
    <phoneticPr fontId="7" type="noConversion"/>
  </si>
  <si>
    <t>자부담 인건비</t>
    <phoneticPr fontId="7" type="noConversion"/>
  </si>
  <si>
    <t>예비 인건비(후원금)</t>
    <phoneticPr fontId="7" type="noConversion"/>
  </si>
  <si>
    <t>임직원 보수 총합계액</t>
    <phoneticPr fontId="7" type="noConversion"/>
  </si>
  <si>
    <t>여                비</t>
    <phoneticPr fontId="4" type="noConversion"/>
  </si>
  <si>
    <t xml:space="preserve">급                   여 </t>
    <phoneticPr fontId="4" type="noConversion"/>
  </si>
  <si>
    <t>일  용  잡  급</t>
    <phoneticPr fontId="4" type="noConversion"/>
  </si>
  <si>
    <t>제     수     당</t>
    <phoneticPr fontId="4" type="noConversion"/>
  </si>
  <si>
    <t>시       설       비</t>
    <phoneticPr fontId="4" type="noConversion"/>
  </si>
  <si>
    <t>생        계        비</t>
    <phoneticPr fontId="4" type="noConversion"/>
  </si>
  <si>
    <t>의       료       비</t>
    <phoneticPr fontId="4" type="noConversion"/>
  </si>
  <si>
    <t>연       료       비</t>
    <phoneticPr fontId="4" type="noConversion"/>
  </si>
  <si>
    <t>피      복      비</t>
    <phoneticPr fontId="4" type="noConversion"/>
  </si>
  <si>
    <t xml:space="preserve">*종사자 인건비 호봉 산정 예산반영 증액
* 교대인력 12명 지원 충원에 따른 예산반영 증액 </t>
    <phoneticPr fontId="4" type="noConversion"/>
  </si>
  <si>
    <t>코로나19로 인한 직원연수 취소등으로  예산감액</t>
    <phoneticPr fontId="4" type="noConversion"/>
  </si>
  <si>
    <t>화성시지원 전자결재시스템 도입에 따른 유지비용(1,980,000원) 추가 편성등 예산 증액</t>
    <phoneticPr fontId="4" type="noConversion"/>
  </si>
  <si>
    <t>일상용품 이용인 개인구입으로 인한 예산감액</t>
    <phoneticPr fontId="4" type="noConversion"/>
  </si>
  <si>
    <t>2020년 경기도 재활프로그램 중증장애인의 
직업능력개발을 위한 목공프로그램
 “우드잡 woodjob” 선정</t>
    <phoneticPr fontId="4" type="noConversion"/>
  </si>
  <si>
    <t xml:space="preserve">2019년 복사기 임대료, CMS 후원금수수료,
위생재료비등 미지급분 </t>
    <phoneticPr fontId="4" type="noConversion"/>
  </si>
  <si>
    <t>2020년 경기도 재활프로그램 중증장애인의 직업능력개발을 위한 목공프로그램 “우드잡 woodjob” 선정</t>
    <phoneticPr fontId="4" type="noConversion"/>
  </si>
  <si>
    <t>준하홀 프로그램실 활성화에 따른 공공요금 사용량 증가로 예산증액</t>
    <phoneticPr fontId="4" type="noConversion"/>
  </si>
  <si>
    <t>2019년 보조금 반환금 및 
이월금 반영 예산조정</t>
    <phoneticPr fontId="4" type="noConversion"/>
  </si>
  <si>
    <t>* 인  건  비 (30%)  :       753,266,210원
* 관리운영비 (30%) :       30,544,500원
* 생  계  비 (30%)  :         42,221,760원
* 기능보강사업(50%) :       1,049,400원</t>
    <phoneticPr fontId="4" type="noConversion"/>
  </si>
  <si>
    <t>* 인    건    비(70%) :   1,757,621,160원
* 관 리 운 영 비(70%) :     71,270,500원
* 생    계    비(70%) :        98,517,440원
* 기능보강사업비(50%) :    1,049,400원</t>
    <phoneticPr fontId="4" type="noConversion"/>
  </si>
  <si>
    <t>화성시 지원 코로나19 예방 방역 장비 구입</t>
    <phoneticPr fontId="4" type="noConversion"/>
  </si>
  <si>
    <t>*국도비 공기청정기렌탈지원사업선정에 따른 
 예산편성 (렌탈료 매월 174,900원)
*화성시지원 코로나19 예방 방역물품지원사업
  (2,090,000원)</t>
    <phoneticPr fontId="4" type="noConversion"/>
  </si>
  <si>
    <t>아. 일용잡급 일람표</t>
  </si>
  <si>
    <t>이월금(보조금)</t>
    <phoneticPr fontId="4" type="noConversion"/>
  </si>
  <si>
    <t>이월금(자부담)</t>
    <phoneticPr fontId="4" type="noConversion"/>
  </si>
  <si>
    <t>이월금(후원금)</t>
    <phoneticPr fontId="4" type="noConversion"/>
  </si>
  <si>
    <t>* 보조금 : 운영비 이월금 ( 5,003,680원), 운영비 예금이자 이월금 (162,040원), 생계비 예금이자 이월금 ( 4,280원), 
               7종 보조금 이월금 (1,231,470원), 7종 예금이자 이월금 (11,940원), 4종 보조금 이월금 (40,000원),                 
                4종 예금이자 이월금( 6,190원), 재활프로그램 예금이자 이월금(3,400원), 
                추가지원 보조금 이월금(1,690,580원), 추가지원 예금이자 이월금(4,460원), 
                기능보강 이월금(341,740원), 기능보강 예금이자 이월금(13,410원)</t>
    <phoneticPr fontId="4" type="noConversion"/>
  </si>
  <si>
    <t>* 후원금 : 비지정후원금이월금(18,629,586원), 지정후원금이월금(3,008,670원), 후원금예금이자이월금(820,112원)</t>
    <phoneticPr fontId="4" type="noConversion"/>
  </si>
  <si>
    <t>* 차량구입 지정후원 :         12,400,000원
* 재활프로그램 지정후원 :     3,280,000원
* 결연후원금 :                      2,820,000원
* 재난복구지정후원(법인) :  20,000,000원</t>
    <phoneticPr fontId="4" type="noConversion"/>
  </si>
  <si>
    <t>이용인생활동 태풍과 장마로인한 누수 보수공사비용추가</t>
    <phoneticPr fontId="4" type="noConversion"/>
  </si>
  <si>
    <t xml:space="preserve">* 자부담 :  법인전입금 이월금(3,080,563원)               </t>
    <phoneticPr fontId="4" type="noConversion"/>
  </si>
  <si>
    <t>이월금(법인전입금)</t>
    <phoneticPr fontId="4" type="noConversion"/>
  </si>
  <si>
    <t>* 자부담 : 입소비용수입 이월금(9,105,019원), 종사자식대 이월금(2,970,859원)
                기타 잡수입 이월금(7,098,481원), 자부담 예금이자 이월금(178,200원)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</si>
</sst>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1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#,##0_ "/>
    <numFmt numFmtId="177" formatCode="#,##0_);[Red]\(#,##0\)"/>
    <numFmt numFmtId="178" formatCode="#,##0.00_ "/>
    <numFmt numFmtId="179" formatCode="#,##0;[Red]#,##0"/>
    <numFmt numFmtId="180" formatCode="##&quot;월&quot;"/>
    <numFmt numFmtId="181" formatCode="##&quot;명&quot;"/>
    <numFmt numFmtId="182" formatCode="_-* #,##0_-;\-* #,##0_-;_-* &quot;-&quot;??_-;_-@_-"/>
    <numFmt numFmtId="183" formatCode="0.00_ "/>
    <numFmt numFmtId="184" formatCode="0.00_ ;[Red]\-0.00\ "/>
    <numFmt numFmtId="185" formatCode="0.0_ ;[Red]\-0.0\ "/>
    <numFmt numFmtId="186" formatCode="0.00;[Red]0.00"/>
    <numFmt numFmtId="187" formatCode="#,##0.0_ "/>
    <numFmt numFmtId="188" formatCode="0.0_ "/>
    <numFmt numFmtId="189" formatCode="##&quot;회&quot;"/>
    <numFmt numFmtId="190" formatCode="0.000%"/>
    <numFmt numFmtId="191" formatCode="##&quot;%&quot;"/>
    <numFmt numFmtId="192" formatCode="##&quot;시간&quot;"/>
    <numFmt numFmtId="193" formatCode="#,###&quot;원&quot;"/>
  </numFmts>
  <fonts count="81">
    <font>
      <sz val="11"/>
      <name val="굴림체"/>
      <family val="3"/>
      <charset val="129"/>
    </font>
    <font>
      <sz val="11"/>
      <name val="굴림체"/>
      <family val="3"/>
      <charset val="129"/>
    </font>
    <font>
      <sz val="12"/>
      <name val="바탕체"/>
      <family val="1"/>
      <charset val="129"/>
    </font>
    <font>
      <b/>
      <sz val="12"/>
      <name val="Arial"/>
      <family val="2"/>
    </font>
    <font>
      <sz val="8"/>
      <name val="돋움"/>
      <family val="3"/>
      <charset val="129"/>
    </font>
    <font>
      <sz val="11"/>
      <name val="HY그래픽"/>
      <family val="1"/>
      <charset val="129"/>
    </font>
    <font>
      <sz val="10"/>
      <name val="HY그래픽"/>
      <family val="1"/>
      <charset val="129"/>
    </font>
    <font>
      <sz val="8"/>
      <name val="굴림체"/>
      <family val="3"/>
      <charset val="129"/>
    </font>
    <font>
      <sz val="8"/>
      <name val="HY그래픽"/>
      <family val="1"/>
      <charset val="129"/>
    </font>
    <font>
      <b/>
      <sz val="12"/>
      <name val="HY그래픽"/>
      <family val="1"/>
      <charset val="129"/>
    </font>
    <font>
      <sz val="7"/>
      <name val="HY그래픽"/>
      <family val="1"/>
      <charset val="129"/>
    </font>
    <font>
      <sz val="11"/>
      <name val="굴림체"/>
      <family val="3"/>
      <charset val="129"/>
    </font>
    <font>
      <sz val="10"/>
      <name val="굴림"/>
      <family val="3"/>
      <charset val="129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</font>
    <font>
      <b/>
      <sz val="14"/>
      <name val="바탕"/>
      <family val="1"/>
      <charset val="129"/>
    </font>
    <font>
      <b/>
      <sz val="12"/>
      <name val="바탕"/>
      <family val="1"/>
      <charset val="129"/>
    </font>
    <font>
      <b/>
      <sz val="8"/>
      <name val="바탕"/>
      <family val="1"/>
      <charset val="129"/>
    </font>
    <font>
      <b/>
      <sz val="6"/>
      <name val="바탕"/>
      <family val="1"/>
      <charset val="129"/>
    </font>
    <font>
      <b/>
      <sz val="10"/>
      <name val="바탕"/>
      <family val="1"/>
      <charset val="129"/>
    </font>
    <font>
      <sz val="9"/>
      <name val="바탕"/>
      <family val="1"/>
      <charset val="129"/>
    </font>
    <font>
      <b/>
      <sz val="11"/>
      <name val="바탕"/>
      <family val="1"/>
      <charset val="129"/>
    </font>
    <font>
      <b/>
      <sz val="9"/>
      <name val="바탕"/>
      <family val="1"/>
      <charset val="129"/>
    </font>
    <font>
      <sz val="10"/>
      <name val="바탕"/>
      <family val="1"/>
      <charset val="129"/>
    </font>
    <font>
      <sz val="8"/>
      <name val="바탕"/>
      <family val="1"/>
      <charset val="129"/>
    </font>
    <font>
      <sz val="7"/>
      <name val="바탕"/>
      <family val="1"/>
      <charset val="129"/>
    </font>
    <font>
      <sz val="6"/>
      <name val="바탕"/>
      <family val="1"/>
      <charset val="129"/>
    </font>
    <font>
      <sz val="11"/>
      <name val="바탕"/>
      <family val="1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sz val="14"/>
      <name val="바탕"/>
      <family val="1"/>
      <charset val="129"/>
    </font>
    <font>
      <sz val="12"/>
      <name val="바탕"/>
      <family val="1"/>
      <charset val="129"/>
    </font>
    <font>
      <sz val="9"/>
      <name val="굴림체"/>
      <family val="3"/>
      <charset val="129"/>
    </font>
    <font>
      <sz val="10"/>
      <color indexed="10"/>
      <name val="굴림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b/>
      <sz val="11"/>
      <name val="굴림"/>
      <family val="3"/>
      <charset val="129"/>
    </font>
    <font>
      <b/>
      <sz val="20"/>
      <name val="굴림"/>
      <family val="3"/>
      <charset val="129"/>
    </font>
    <font>
      <b/>
      <sz val="9"/>
      <name val="굴림"/>
      <family val="3"/>
      <charset val="129"/>
    </font>
    <font>
      <sz val="10"/>
      <color theme="1"/>
      <name val="굴림"/>
      <family val="3"/>
      <charset val="129"/>
    </font>
    <font>
      <sz val="11"/>
      <color rgb="FFFF0000"/>
      <name val="굴림"/>
      <family val="3"/>
      <charset val="129"/>
    </font>
    <font>
      <b/>
      <sz val="16"/>
      <name val="바탕"/>
      <family val="1"/>
      <charset val="129"/>
    </font>
    <font>
      <b/>
      <sz val="36"/>
      <name val="바탕"/>
      <family val="1"/>
      <charset val="129"/>
    </font>
    <font>
      <b/>
      <sz val="15"/>
      <name val="바탕"/>
      <family val="1"/>
      <charset val="129"/>
    </font>
    <font>
      <b/>
      <sz val="24"/>
      <name val="바탕"/>
      <family val="1"/>
      <charset val="129"/>
    </font>
    <font>
      <b/>
      <sz val="10"/>
      <name val="굴림"/>
      <family val="3"/>
      <charset val="129"/>
    </font>
    <font>
      <b/>
      <sz val="15"/>
      <name val="굴림"/>
      <family val="3"/>
      <charset val="129"/>
    </font>
    <font>
      <sz val="14"/>
      <name val="굴림"/>
      <family val="3"/>
      <charset val="129"/>
    </font>
    <font>
      <sz val="7"/>
      <name val="굴림"/>
      <family val="3"/>
      <charset val="129"/>
    </font>
    <font>
      <sz val="8"/>
      <name val="굴림"/>
      <family val="3"/>
      <charset val="129"/>
    </font>
    <font>
      <b/>
      <sz val="12"/>
      <name val="굴림"/>
      <family val="3"/>
      <charset val="129"/>
    </font>
    <font>
      <sz val="12"/>
      <name val="굴림"/>
      <family val="3"/>
      <charset val="129"/>
    </font>
    <font>
      <sz val="9"/>
      <color rgb="FFFF0000"/>
      <name val="굴림"/>
      <family val="3"/>
      <charset val="129"/>
    </font>
    <font>
      <b/>
      <sz val="18"/>
      <color indexed="8"/>
      <name val="굴림"/>
      <family val="3"/>
      <charset val="129"/>
    </font>
    <font>
      <sz val="18"/>
      <name val="굴림"/>
      <family val="3"/>
      <charset val="129"/>
    </font>
    <font>
      <b/>
      <sz val="20"/>
      <color indexed="8"/>
      <name val="굴림"/>
      <family val="3"/>
      <charset val="129"/>
    </font>
    <font>
      <b/>
      <sz val="11"/>
      <color indexed="8"/>
      <name val="굴림"/>
      <family val="3"/>
      <charset val="129"/>
    </font>
    <font>
      <b/>
      <sz val="8"/>
      <name val="굴림"/>
      <family val="3"/>
      <charset val="129"/>
    </font>
    <font>
      <sz val="8.5"/>
      <name val="맑은 고딕"/>
      <family val="3"/>
      <charset val="129"/>
      <scheme val="minor"/>
    </font>
    <font>
      <sz val="8.5"/>
      <color indexed="8"/>
      <name val="맑은 고딕"/>
      <family val="3"/>
      <charset val="129"/>
      <scheme val="minor"/>
    </font>
    <font>
      <sz val="8.5"/>
      <name val="바탕"/>
      <family val="1"/>
      <charset val="129"/>
    </font>
    <font>
      <sz val="8.5"/>
      <name val="굴림체"/>
      <family val="3"/>
      <charset val="129"/>
    </font>
    <font>
      <sz val="9"/>
      <color indexed="8"/>
      <name val="굴림"/>
      <family val="3"/>
      <charset val="129"/>
    </font>
    <font>
      <sz val="9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sz val="11"/>
      <color theme="1"/>
      <name val="맑은 고딕"/>
      <family val="3"/>
      <charset val="129"/>
      <scheme val="major"/>
    </font>
    <font>
      <sz val="8"/>
      <color rgb="FFFF0000"/>
      <name val="굴림"/>
      <family val="3"/>
      <charset val="129"/>
    </font>
    <font>
      <sz val="11"/>
      <color rgb="FFFF0000"/>
      <name val="굴림체"/>
      <family val="3"/>
      <charset val="129"/>
    </font>
    <font>
      <b/>
      <u/>
      <sz val="10"/>
      <name val="굴림"/>
      <family val="3"/>
      <charset val="129"/>
    </font>
    <font>
      <b/>
      <u/>
      <sz val="10"/>
      <color theme="1"/>
      <name val="돋움"/>
      <family val="3"/>
      <charset val="129"/>
    </font>
    <font>
      <b/>
      <u/>
      <sz val="11"/>
      <name val="굴림"/>
      <family val="3"/>
      <charset val="129"/>
    </font>
    <font>
      <sz val="8.5"/>
      <name val="굴림"/>
      <family val="3"/>
      <charset val="129"/>
    </font>
  </fonts>
  <fills count="2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E7EDFF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16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auto="1"/>
      </left>
      <right style="hair">
        <color indexed="64"/>
      </right>
      <top/>
      <bottom style="thin">
        <color auto="1"/>
      </bottom>
      <diagonal/>
    </border>
    <border>
      <left style="hair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auto="1"/>
      </left>
      <right/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/>
      <right style="double">
        <color indexed="64"/>
      </right>
      <top style="hair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 style="hair">
        <color indexed="64"/>
      </top>
      <bottom style="thin">
        <color indexed="64"/>
      </bottom>
      <diagonal/>
    </border>
  </borders>
  <cellStyleXfs count="24">
    <xf numFmtId="0" fontId="0" fillId="0" borderId="0"/>
    <xf numFmtId="41" fontId="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2" fillId="0" borderId="0"/>
    <xf numFmtId="0" fontId="13" fillId="0" borderId="0"/>
    <xf numFmtId="0" fontId="14" fillId="0" borderId="0">
      <alignment vertical="center"/>
    </xf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2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1" fillId="0" borderId="0"/>
    <xf numFmtId="0" fontId="1" fillId="0" borderId="0"/>
    <xf numFmtId="0" fontId="13" fillId="0" borderId="0">
      <alignment vertical="center"/>
    </xf>
    <xf numFmtId="41" fontId="13" fillId="0" borderId="0" applyFont="0" applyFill="0" applyBorder="0" applyAlignment="0" applyProtection="0"/>
    <xf numFmtId="9" fontId="13" fillId="0" borderId="0" applyFont="0" applyFill="0" applyBorder="0" applyAlignment="0" applyProtection="0"/>
  </cellStyleXfs>
  <cellXfs count="1720">
    <xf numFmtId="0" fontId="0" fillId="0" borderId="0" xfId="0"/>
    <xf numFmtId="0" fontId="5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shrinkToFit="1"/>
    </xf>
    <xf numFmtId="0" fontId="6" fillId="0" borderId="0" xfId="0" applyFont="1" applyFill="1" applyBorder="1" applyAlignment="1">
      <alignment vertical="center"/>
    </xf>
    <xf numFmtId="0" fontId="8" fillId="0" borderId="0" xfId="0" applyFont="1" applyBorder="1" applyAlignment="1">
      <alignment vertical="center"/>
    </xf>
    <xf numFmtId="3" fontId="8" fillId="0" borderId="0" xfId="0" applyNumberFormat="1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3" fontId="10" fillId="0" borderId="0" xfId="0" applyNumberFormat="1" applyFont="1" applyBorder="1" applyAlignment="1">
      <alignment vertical="center"/>
    </xf>
    <xf numFmtId="176" fontId="8" fillId="0" borderId="0" xfId="0" applyNumberFormat="1" applyFont="1" applyBorder="1" applyAlignment="1">
      <alignment vertical="center"/>
    </xf>
    <xf numFmtId="176" fontId="10" fillId="0" borderId="0" xfId="0" applyNumberFormat="1" applyFont="1" applyBorder="1" applyAlignment="1">
      <alignment vertical="center"/>
    </xf>
    <xf numFmtId="0" fontId="0" fillId="0" borderId="0" xfId="0"/>
    <xf numFmtId="42" fontId="15" fillId="0" borderId="0" xfId="16" applyFont="1" applyFill="1" applyAlignment="1">
      <alignment vertical="center"/>
    </xf>
    <xf numFmtId="41" fontId="15" fillId="0" borderId="0" xfId="1" applyFont="1" applyFill="1" applyAlignment="1">
      <alignment vertical="center"/>
    </xf>
    <xf numFmtId="42" fontId="15" fillId="0" borderId="0" xfId="16" applyFont="1" applyFill="1" applyAlignment="1">
      <alignment horizontal="center" vertical="center"/>
    </xf>
    <xf numFmtId="41" fontId="15" fillId="2" borderId="69" xfId="1" applyFont="1" applyFill="1" applyBorder="1" applyAlignment="1">
      <alignment horizontal="center" vertical="center"/>
    </xf>
    <xf numFmtId="41" fontId="15" fillId="2" borderId="69" xfId="1" applyFont="1" applyFill="1" applyBorder="1" applyAlignment="1">
      <alignment horizontal="center" vertical="center" wrapText="1"/>
    </xf>
    <xf numFmtId="0" fontId="15" fillId="0" borderId="69" xfId="0" applyFont="1" applyFill="1" applyBorder="1" applyAlignment="1">
      <alignment horizontal="center" vertical="center"/>
    </xf>
    <xf numFmtId="49" fontId="15" fillId="0" borderId="69" xfId="0" applyNumberFormat="1" applyFont="1" applyFill="1" applyBorder="1" applyAlignment="1">
      <alignment horizontal="center" vertical="center"/>
    </xf>
    <xf numFmtId="41" fontId="16" fillId="0" borderId="59" xfId="0" applyNumberFormat="1" applyFont="1" applyBorder="1" applyAlignment="1">
      <alignment horizontal="right" vertical="center"/>
    </xf>
    <xf numFmtId="41" fontId="16" fillId="0" borderId="69" xfId="0" applyNumberFormat="1" applyFont="1" applyBorder="1" applyAlignment="1">
      <alignment horizontal="right" vertical="center"/>
    </xf>
    <xf numFmtId="41" fontId="15" fillId="0" borderId="69" xfId="1" applyFont="1" applyFill="1" applyBorder="1" applyAlignment="1">
      <alignment vertical="center"/>
    </xf>
    <xf numFmtId="41" fontId="15" fillId="3" borderId="69" xfId="1" applyFont="1" applyFill="1" applyBorder="1" applyAlignment="1">
      <alignment vertical="center"/>
    </xf>
    <xf numFmtId="49" fontId="15" fillId="4" borderId="69" xfId="0" applyNumberFormat="1" applyFont="1" applyFill="1" applyBorder="1" applyAlignment="1">
      <alignment horizontal="center" vertical="center"/>
    </xf>
    <xf numFmtId="42" fontId="15" fillId="0" borderId="69" xfId="16" applyFont="1" applyFill="1" applyBorder="1" applyAlignment="1">
      <alignment horizontal="center" vertical="center"/>
    </xf>
    <xf numFmtId="42" fontId="15" fillId="4" borderId="69" xfId="16" applyFont="1" applyFill="1" applyBorder="1" applyAlignment="1">
      <alignment horizontal="center" vertical="center"/>
    </xf>
    <xf numFmtId="41" fontId="9" fillId="0" borderId="22" xfId="1" applyFont="1" applyBorder="1" applyAlignment="1">
      <alignment vertical="center"/>
    </xf>
    <xf numFmtId="42" fontId="19" fillId="0" borderId="22" xfId="16" applyFont="1" applyFill="1" applyBorder="1" applyAlignment="1">
      <alignment vertical="center"/>
    </xf>
    <xf numFmtId="42" fontId="18" fillId="0" borderId="22" xfId="16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 shrinkToFit="1"/>
    </xf>
    <xf numFmtId="0" fontId="15" fillId="0" borderId="69" xfId="0" applyFont="1" applyBorder="1" applyAlignment="1">
      <alignment vertical="center"/>
    </xf>
    <xf numFmtId="0" fontId="15" fillId="0" borderId="69" xfId="0" applyFont="1" applyFill="1" applyBorder="1" applyAlignment="1">
      <alignment vertical="center"/>
    </xf>
    <xf numFmtId="41" fontId="22" fillId="0" borderId="0" xfId="18" applyFont="1">
      <alignment vertical="center"/>
    </xf>
    <xf numFmtId="41" fontId="24" fillId="0" borderId="0" xfId="18" applyFont="1">
      <alignment vertical="center"/>
    </xf>
    <xf numFmtId="41" fontId="25" fillId="0" borderId="0" xfId="18" applyFont="1" applyAlignment="1">
      <alignment horizontal="center" vertical="center"/>
    </xf>
    <xf numFmtId="41" fontId="23" fillId="0" borderId="0" xfId="18" applyFont="1">
      <alignment vertical="center"/>
    </xf>
    <xf numFmtId="41" fontId="23" fillId="0" borderId="0" xfId="18" applyFont="1" applyAlignment="1">
      <alignment horizontal="center" vertical="center"/>
    </xf>
    <xf numFmtId="41" fontId="30" fillId="0" borderId="0" xfId="18" applyFont="1">
      <alignment vertical="center"/>
    </xf>
    <xf numFmtId="41" fontId="32" fillId="0" borderId="0" xfId="18" applyFont="1">
      <alignment vertical="center"/>
    </xf>
    <xf numFmtId="41" fontId="27" fillId="0" borderId="0" xfId="18" applyFont="1" applyAlignment="1">
      <alignment horizontal="center" vertical="center"/>
    </xf>
    <xf numFmtId="41" fontId="33" fillId="0" borderId="0" xfId="18" applyFont="1">
      <alignment vertical="center"/>
    </xf>
    <xf numFmtId="41" fontId="18" fillId="0" borderId="22" xfId="1" applyFont="1" applyFill="1" applyBorder="1" applyAlignment="1">
      <alignment vertical="center"/>
    </xf>
    <xf numFmtId="41" fontId="0" fillId="0" borderId="0" xfId="1" applyFont="1"/>
    <xf numFmtId="41" fontId="29" fillId="0" borderId="6" xfId="18" applyFont="1" applyBorder="1" applyAlignment="1">
      <alignment horizontal="right" vertical="center"/>
    </xf>
    <xf numFmtId="0" fontId="15" fillId="16" borderId="78" xfId="0" applyFont="1" applyFill="1" applyBorder="1" applyAlignment="1">
      <alignment horizontal="center" vertical="center"/>
    </xf>
    <xf numFmtId="0" fontId="15" fillId="16" borderId="79" xfId="0" applyFont="1" applyFill="1" applyBorder="1" applyAlignment="1">
      <alignment horizontal="center" vertical="center"/>
    </xf>
    <xf numFmtId="0" fontId="15" fillId="16" borderId="94" xfId="0" applyFont="1" applyFill="1" applyBorder="1" applyAlignment="1">
      <alignment horizontal="center" vertical="center"/>
    </xf>
    <xf numFmtId="49" fontId="15" fillId="2" borderId="79" xfId="1" applyNumberFormat="1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30" fillId="0" borderId="0" xfId="0" applyFont="1" applyAlignment="1">
      <alignment vertical="center"/>
    </xf>
    <xf numFmtId="0" fontId="23" fillId="0" borderId="0" xfId="0" applyFont="1" applyAlignment="1">
      <alignment vertical="center"/>
    </xf>
    <xf numFmtId="183" fontId="23" fillId="0" borderId="0" xfId="0" applyNumberFormat="1" applyFont="1" applyAlignment="1">
      <alignment horizontal="center" vertical="center"/>
    </xf>
    <xf numFmtId="0" fontId="22" fillId="0" borderId="0" xfId="0" applyFont="1" applyAlignment="1">
      <alignment vertical="center"/>
    </xf>
    <xf numFmtId="0" fontId="23" fillId="0" borderId="0" xfId="0" applyFont="1" applyAlignment="1">
      <alignment horizontal="center" vertical="center" shrinkToFit="1"/>
    </xf>
    <xf numFmtId="41" fontId="24" fillId="0" borderId="0" xfId="18" applyFont="1" applyAlignment="1">
      <alignment horizontal="center" vertical="center"/>
    </xf>
    <xf numFmtId="0" fontId="29" fillId="0" borderId="0" xfId="0" applyFont="1" applyAlignment="1">
      <alignment horizontal="right" vertical="center"/>
    </xf>
    <xf numFmtId="0" fontId="25" fillId="0" borderId="0" xfId="0" applyFont="1" applyAlignment="1">
      <alignment vertical="center"/>
    </xf>
    <xf numFmtId="41" fontId="25" fillId="0" borderId="0" xfId="18" applyFont="1">
      <alignment vertical="center"/>
    </xf>
    <xf numFmtId="0" fontId="25" fillId="0" borderId="0" xfId="0" applyFont="1" applyAlignment="1">
      <alignment horizontal="center" vertical="center"/>
    </xf>
    <xf numFmtId="0" fontId="25" fillId="0" borderId="73" xfId="0" applyFont="1" applyBorder="1" applyAlignment="1">
      <alignment horizontal="center" vertical="center" shrinkToFit="1"/>
    </xf>
    <xf numFmtId="0" fontId="25" fillId="0" borderId="7" xfId="0" applyFont="1" applyBorder="1" applyAlignment="1">
      <alignment horizontal="center" vertical="center" shrinkToFit="1"/>
    </xf>
    <xf numFmtId="0" fontId="25" fillId="0" borderId="7" xfId="0" applyFont="1" applyBorder="1" applyAlignment="1">
      <alignment horizontal="center" vertical="center"/>
    </xf>
    <xf numFmtId="0" fontId="25" fillId="0" borderId="99" xfId="0" applyFont="1" applyBorder="1" applyAlignment="1">
      <alignment horizontal="center" vertical="center" shrinkToFit="1"/>
    </xf>
    <xf numFmtId="0" fontId="25" fillId="0" borderId="90" xfId="0" applyFont="1" applyBorder="1" applyAlignment="1">
      <alignment horizontal="center" vertical="center" shrinkToFit="1"/>
    </xf>
    <xf numFmtId="176" fontId="25" fillId="0" borderId="0" xfId="0" applyNumberFormat="1" applyFont="1" applyAlignment="1">
      <alignment horizontal="center" vertical="center"/>
    </xf>
    <xf numFmtId="176" fontId="25" fillId="0" borderId="5" xfId="0" applyNumberFormat="1" applyFont="1" applyBorder="1" applyAlignment="1">
      <alignment horizontal="center" vertical="center" shrinkToFit="1"/>
    </xf>
    <xf numFmtId="176" fontId="25" fillId="0" borderId="100" xfId="0" applyNumberFormat="1" applyFont="1" applyBorder="1" applyAlignment="1">
      <alignment horizontal="center" vertical="center" shrinkToFit="1"/>
    </xf>
    <xf numFmtId="184" fontId="25" fillId="0" borderId="5" xfId="0" applyNumberFormat="1" applyFont="1" applyBorder="1" applyAlignment="1">
      <alignment horizontal="center" vertical="center" shrinkToFit="1"/>
    </xf>
    <xf numFmtId="176" fontId="25" fillId="0" borderId="5" xfId="0" applyNumberFormat="1" applyFont="1" applyBorder="1" applyAlignment="1">
      <alignment horizontal="right" vertical="center" shrinkToFit="1"/>
    </xf>
    <xf numFmtId="176" fontId="25" fillId="0" borderId="70" xfId="0" applyNumberFormat="1" applyFont="1" applyBorder="1" applyAlignment="1">
      <alignment horizontal="right" vertical="center" shrinkToFit="1"/>
    </xf>
    <xf numFmtId="184" fontId="25" fillId="0" borderId="102" xfId="0" applyNumberFormat="1" applyFont="1" applyBorder="1" applyAlignment="1">
      <alignment horizontal="center" vertical="center" shrinkToFit="1"/>
    </xf>
    <xf numFmtId="176" fontId="28" fillId="0" borderId="0" xfId="0" applyNumberFormat="1" applyFont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9" fillId="0" borderId="13" xfId="0" applyFont="1" applyBorder="1" applyAlignment="1">
      <alignment horizontal="center" vertical="center" shrinkToFit="1"/>
    </xf>
    <xf numFmtId="176" fontId="29" fillId="0" borderId="6" xfId="0" applyNumberFormat="1" applyFont="1" applyBorder="1" applyAlignment="1">
      <alignment horizontal="right" vertical="center" shrinkToFit="1"/>
    </xf>
    <xf numFmtId="176" fontId="29" fillId="0" borderId="66" xfId="0" applyNumberFormat="1" applyFont="1" applyBorder="1" applyAlignment="1">
      <alignment horizontal="right" vertical="center" shrinkToFit="1"/>
    </xf>
    <xf numFmtId="184" fontId="29" fillId="0" borderId="6" xfId="0" applyNumberFormat="1" applyFont="1" applyBorder="1" applyAlignment="1">
      <alignment horizontal="center" vertical="center" shrinkToFit="1"/>
    </xf>
    <xf numFmtId="0" fontId="29" fillId="0" borderId="19" xfId="0" applyFont="1" applyBorder="1" applyAlignment="1">
      <alignment horizontal="center" vertical="center" shrinkToFit="1"/>
    </xf>
    <xf numFmtId="176" fontId="29" fillId="0" borderId="33" xfId="0" applyNumberFormat="1" applyFont="1" applyBorder="1" applyAlignment="1">
      <alignment horizontal="right" vertical="center" shrinkToFit="1"/>
    </xf>
    <xf numFmtId="184" fontId="29" fillId="0" borderId="102" xfId="0" applyNumberFormat="1" applyFont="1" applyBorder="1" applyAlignment="1">
      <alignment horizontal="center" vertical="center" shrinkToFit="1"/>
    </xf>
    <xf numFmtId="0" fontId="26" fillId="0" borderId="0" xfId="0" applyFont="1" applyAlignment="1">
      <alignment vertical="center"/>
    </xf>
    <xf numFmtId="41" fontId="26" fillId="0" borderId="0" xfId="0" applyNumberFormat="1" applyFont="1" applyAlignment="1">
      <alignment vertical="center"/>
    </xf>
    <xf numFmtId="0" fontId="29" fillId="0" borderId="12" xfId="0" applyFont="1" applyBorder="1" applyAlignment="1">
      <alignment horizontal="center" vertical="center" shrinkToFit="1"/>
    </xf>
    <xf numFmtId="0" fontId="29" fillId="0" borderId="6" xfId="0" applyFont="1" applyBorder="1" applyAlignment="1">
      <alignment horizontal="center" vertical="center" shrinkToFit="1"/>
    </xf>
    <xf numFmtId="0" fontId="29" fillId="0" borderId="17" xfId="0" applyFont="1" applyBorder="1" applyAlignment="1">
      <alignment horizontal="center" vertical="center" shrinkToFit="1"/>
    </xf>
    <xf numFmtId="0" fontId="29" fillId="0" borderId="20" xfId="0" applyFont="1" applyBorder="1" applyAlignment="1">
      <alignment horizontal="center" vertical="center" shrinkToFit="1"/>
    </xf>
    <xf numFmtId="0" fontId="29" fillId="0" borderId="103" xfId="0" applyFont="1" applyBorder="1" applyAlignment="1">
      <alignment horizontal="center" vertical="center" shrinkToFit="1"/>
    </xf>
    <xf numFmtId="0" fontId="29" fillId="0" borderId="3" xfId="0" applyFont="1" applyBorder="1" applyAlignment="1">
      <alignment horizontal="center" vertical="center" shrinkToFit="1"/>
    </xf>
    <xf numFmtId="0" fontId="29" fillId="0" borderId="4" xfId="0" applyFont="1" applyBorder="1" applyAlignment="1">
      <alignment horizontal="center" vertical="center" shrinkToFit="1"/>
    </xf>
    <xf numFmtId="0" fontId="29" fillId="0" borderId="5" xfId="0" applyFont="1" applyBorder="1" applyAlignment="1">
      <alignment horizontal="center" vertical="center" shrinkToFit="1"/>
    </xf>
    <xf numFmtId="176" fontId="29" fillId="0" borderId="6" xfId="0" applyNumberFormat="1" applyFont="1" applyBorder="1" applyAlignment="1">
      <alignment vertical="center" shrinkToFit="1"/>
    </xf>
    <xf numFmtId="176" fontId="29" fillId="0" borderId="66" xfId="0" applyNumberFormat="1" applyFont="1" applyBorder="1" applyAlignment="1">
      <alignment vertical="center" shrinkToFit="1"/>
    </xf>
    <xf numFmtId="0" fontId="29" fillId="0" borderId="91" xfId="0" applyFont="1" applyBorder="1" applyAlignment="1">
      <alignment horizontal="center" vertical="center" shrinkToFit="1"/>
    </xf>
    <xf numFmtId="176" fontId="29" fillId="0" borderId="91" xfId="0" applyNumberFormat="1" applyFont="1" applyBorder="1" applyAlignment="1">
      <alignment horizontal="center" vertical="center" shrinkToFit="1"/>
    </xf>
    <xf numFmtId="176" fontId="29" fillId="0" borderId="13" xfId="0" applyNumberFormat="1" applyFont="1" applyBorder="1" applyAlignment="1">
      <alignment vertical="center" shrinkToFit="1"/>
    </xf>
    <xf numFmtId="0" fontId="29" fillId="0" borderId="101" xfId="0" applyFont="1" applyBorder="1" applyAlignment="1">
      <alignment horizontal="center" vertical="center" shrinkToFit="1"/>
    </xf>
    <xf numFmtId="0" fontId="28" fillId="0" borderId="0" xfId="0" applyFont="1" applyAlignment="1">
      <alignment vertical="center"/>
    </xf>
    <xf numFmtId="0" fontId="29" fillId="0" borderId="6" xfId="0" applyFont="1" applyBorder="1" applyAlignment="1">
      <alignment horizontal="center" vertical="center" wrapText="1" shrinkToFit="1"/>
    </xf>
    <xf numFmtId="176" fontId="29" fillId="0" borderId="3" xfId="0" applyNumberFormat="1" applyFont="1" applyBorder="1" applyAlignment="1">
      <alignment vertical="center" shrinkToFit="1"/>
    </xf>
    <xf numFmtId="0" fontId="26" fillId="0" borderId="104" xfId="0" applyFont="1" applyBorder="1" applyAlignment="1">
      <alignment vertical="center"/>
    </xf>
    <xf numFmtId="0" fontId="26" fillId="0" borderId="0" xfId="0" applyFont="1" applyBorder="1" applyAlignment="1">
      <alignment vertical="center"/>
    </xf>
    <xf numFmtId="0" fontId="29" fillId="0" borderId="105" xfId="0" applyFont="1" applyBorder="1" applyAlignment="1">
      <alignment vertical="center" shrinkToFit="1"/>
    </xf>
    <xf numFmtId="0" fontId="29" fillId="0" borderId="3" xfId="0" applyFont="1" applyBorder="1" applyAlignment="1">
      <alignment vertical="center" shrinkToFit="1"/>
    </xf>
    <xf numFmtId="0" fontId="29" fillId="0" borderId="4" xfId="0" applyFont="1" applyBorder="1" applyAlignment="1">
      <alignment vertical="center" shrinkToFit="1"/>
    </xf>
    <xf numFmtId="184" fontId="29" fillId="0" borderId="4" xfId="0" applyNumberFormat="1" applyFont="1" applyBorder="1" applyAlignment="1">
      <alignment vertical="center" shrinkToFit="1"/>
    </xf>
    <xf numFmtId="176" fontId="29" fillId="0" borderId="5" xfId="0" applyNumberFormat="1" applyFont="1" applyBorder="1" applyAlignment="1">
      <alignment horizontal="right" vertical="center" shrinkToFit="1"/>
    </xf>
    <xf numFmtId="176" fontId="29" fillId="0" borderId="70" xfId="0" applyNumberFormat="1" applyFont="1" applyBorder="1" applyAlignment="1">
      <alignment horizontal="right" vertical="center" shrinkToFit="1"/>
    </xf>
    <xf numFmtId="0" fontId="29" fillId="0" borderId="71" xfId="0" applyFont="1" applyBorder="1" applyAlignment="1">
      <alignment horizontal="center" vertical="center" shrinkToFit="1"/>
    </xf>
    <xf numFmtId="0" fontId="29" fillId="0" borderId="93" xfId="0" applyFont="1" applyBorder="1" applyAlignment="1">
      <alignment horizontal="center" vertical="center" shrinkToFit="1"/>
    </xf>
    <xf numFmtId="0" fontId="29" fillId="0" borderId="93" xfId="0" applyFont="1" applyBorder="1" applyAlignment="1">
      <alignment vertical="center" shrinkToFit="1"/>
    </xf>
    <xf numFmtId="0" fontId="29" fillId="0" borderId="106" xfId="0" applyFont="1" applyBorder="1" applyAlignment="1">
      <alignment vertical="center" shrinkToFit="1"/>
    </xf>
    <xf numFmtId="184" fontId="29" fillId="0" borderId="93" xfId="0" applyNumberFormat="1" applyFont="1" applyBorder="1" applyAlignment="1">
      <alignment vertical="center" shrinkToFit="1"/>
    </xf>
    <xf numFmtId="0" fontId="29" fillId="0" borderId="107" xfId="0" applyFont="1" applyBorder="1" applyAlignment="1">
      <alignment horizontal="center" vertical="center" shrinkToFit="1"/>
    </xf>
    <xf numFmtId="0" fontId="29" fillId="0" borderId="82" xfId="0" applyFont="1" applyBorder="1" applyAlignment="1">
      <alignment horizontal="center" vertical="center" shrinkToFit="1"/>
    </xf>
    <xf numFmtId="176" fontId="29" fillId="0" borderId="82" xfId="0" applyNumberFormat="1" applyFont="1" applyBorder="1" applyAlignment="1">
      <alignment horizontal="right" vertical="center" shrinkToFit="1"/>
    </xf>
    <xf numFmtId="176" fontId="29" fillId="0" borderId="67" xfId="0" applyNumberFormat="1" applyFont="1" applyBorder="1" applyAlignment="1">
      <alignment horizontal="right" vertical="center" shrinkToFit="1"/>
    </xf>
    <xf numFmtId="184" fontId="29" fillId="0" borderId="108" xfId="0" applyNumberFormat="1" applyFont="1" applyBorder="1" applyAlignment="1">
      <alignment horizontal="center" vertical="center" shrinkToFit="1"/>
    </xf>
    <xf numFmtId="0" fontId="30" fillId="0" borderId="0" xfId="0" applyFont="1" applyAlignment="1">
      <alignment horizontal="center" vertical="center" shrinkToFit="1"/>
    </xf>
    <xf numFmtId="0" fontId="30" fillId="0" borderId="0" xfId="0" applyFont="1" applyAlignment="1">
      <alignment vertical="center" shrinkToFit="1"/>
    </xf>
    <xf numFmtId="183" fontId="30" fillId="0" borderId="0" xfId="0" applyNumberFormat="1" applyFont="1" applyAlignment="1">
      <alignment horizontal="center" vertical="center" shrinkToFit="1"/>
    </xf>
    <xf numFmtId="0" fontId="33" fillId="0" borderId="0" xfId="0" applyFont="1" applyAlignment="1">
      <alignment vertical="center"/>
    </xf>
    <xf numFmtId="0" fontId="30" fillId="0" borderId="0" xfId="0" applyFont="1" applyAlignment="1">
      <alignment horizontal="center" vertical="center"/>
    </xf>
    <xf numFmtId="183" fontId="30" fillId="0" borderId="0" xfId="0" applyNumberFormat="1" applyFont="1" applyAlignment="1">
      <alignment horizontal="center" vertical="center"/>
    </xf>
    <xf numFmtId="41" fontId="7" fillId="0" borderId="69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41" fontId="39" fillId="12" borderId="69" xfId="0" applyNumberFormat="1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176" fontId="12" fillId="6" borderId="6" xfId="1" applyNumberFormat="1" applyFont="1" applyFill="1" applyBorder="1" applyAlignment="1">
      <alignment horizontal="right" vertical="center" shrinkToFit="1"/>
    </xf>
    <xf numFmtId="176" fontId="12" fillId="0" borderId="6" xfId="1" applyNumberFormat="1" applyFont="1" applyFill="1" applyBorder="1" applyAlignment="1">
      <alignment horizontal="right" vertical="center" shrinkToFit="1"/>
    </xf>
    <xf numFmtId="176" fontId="12" fillId="6" borderId="6" xfId="0" applyNumberFormat="1" applyFont="1" applyFill="1" applyBorder="1" applyAlignment="1">
      <alignment vertical="center" shrinkToFit="1"/>
    </xf>
    <xf numFmtId="176" fontId="12" fillId="0" borderId="6" xfId="0" applyNumberFormat="1" applyFont="1" applyFill="1" applyBorder="1" applyAlignment="1">
      <alignment vertical="center" shrinkToFit="1"/>
    </xf>
    <xf numFmtId="0" fontId="12" fillId="0" borderId="0" xfId="0" applyFont="1" applyBorder="1" applyAlignment="1">
      <alignment vertical="center"/>
    </xf>
    <xf numFmtId="41" fontId="6" fillId="0" borderId="0" xfId="1" applyFont="1" applyFill="1" applyBorder="1" applyAlignment="1">
      <alignment horizontal="center" vertical="center"/>
    </xf>
    <xf numFmtId="41" fontId="6" fillId="0" borderId="0" xfId="1" applyFont="1" applyFill="1" applyBorder="1" applyAlignment="1">
      <alignment horizontal="center" vertical="center" shrinkToFit="1"/>
    </xf>
    <xf numFmtId="41" fontId="6" fillId="0" borderId="0" xfId="1" applyFont="1" applyFill="1" applyBorder="1" applyAlignment="1">
      <alignment vertical="center"/>
    </xf>
    <xf numFmtId="41" fontId="5" fillId="0" borderId="0" xfId="1" applyFont="1" applyFill="1" applyBorder="1" applyAlignment="1">
      <alignment horizontal="center" vertical="center"/>
    </xf>
    <xf numFmtId="41" fontId="5" fillId="0" borderId="0" xfId="1" applyFont="1" applyFill="1" applyBorder="1" applyAlignment="1">
      <alignment horizontal="center" vertical="center" shrinkToFit="1"/>
    </xf>
    <xf numFmtId="9" fontId="30" fillId="0" borderId="0" xfId="0" applyNumberFormat="1" applyFont="1" applyAlignment="1">
      <alignment horizontal="left" vertical="center"/>
    </xf>
    <xf numFmtId="179" fontId="30" fillId="0" borderId="0" xfId="0" applyNumberFormat="1" applyFont="1" applyAlignment="1">
      <alignment horizontal="center" vertical="center"/>
    </xf>
    <xf numFmtId="179" fontId="30" fillId="0" borderId="0" xfId="0" applyNumberFormat="1" applyFont="1" applyAlignment="1">
      <alignment horizontal="left" vertical="center"/>
    </xf>
    <xf numFmtId="179" fontId="33" fillId="0" borderId="0" xfId="0" applyNumberFormat="1" applyFont="1" applyAlignment="1">
      <alignment horizontal="center" vertical="center"/>
    </xf>
    <xf numFmtId="0" fontId="33" fillId="0" borderId="0" xfId="0" applyFont="1" applyAlignment="1">
      <alignment horizontal="center" vertical="center"/>
    </xf>
    <xf numFmtId="0" fontId="25" fillId="0" borderId="0" xfId="0" applyFont="1" applyAlignment="1">
      <alignment horizontal="left" vertical="center"/>
    </xf>
    <xf numFmtId="0" fontId="29" fillId="0" borderId="0" xfId="0" applyFont="1" applyAlignment="1">
      <alignment horizontal="left" vertical="center"/>
    </xf>
    <xf numFmtId="179" fontId="30" fillId="0" borderId="0" xfId="0" applyNumberFormat="1" applyFont="1" applyAlignment="1">
      <alignment horizontal="right" vertical="center"/>
    </xf>
    <xf numFmtId="0" fontId="23" fillId="0" borderId="111" xfId="0" applyFont="1" applyBorder="1" applyAlignment="1">
      <alignment horizontal="center" vertical="center"/>
    </xf>
    <xf numFmtId="179" fontId="23" fillId="0" borderId="114" xfId="0" applyNumberFormat="1" applyFont="1" applyBorder="1" applyAlignment="1">
      <alignment horizontal="center" vertical="center"/>
    </xf>
    <xf numFmtId="0" fontId="23" fillId="0" borderId="114" xfId="0" applyFont="1" applyBorder="1" applyAlignment="1">
      <alignment horizontal="center" vertical="center"/>
    </xf>
    <xf numFmtId="179" fontId="23" fillId="0" borderId="116" xfId="0" applyNumberFormat="1" applyFont="1" applyBorder="1" applyAlignment="1">
      <alignment horizontal="center" vertical="center"/>
    </xf>
    <xf numFmtId="179" fontId="23" fillId="8" borderId="11" xfId="0" applyNumberFormat="1" applyFont="1" applyFill="1" applyBorder="1" applyAlignment="1">
      <alignment horizontal="center" vertical="center"/>
    </xf>
    <xf numFmtId="0" fontId="23" fillId="8" borderId="11" xfId="0" applyFont="1" applyFill="1" applyBorder="1" applyAlignment="1">
      <alignment horizontal="center" vertical="center"/>
    </xf>
    <xf numFmtId="179" fontId="23" fillId="8" borderId="11" xfId="0" applyNumberFormat="1" applyFont="1" applyFill="1" applyBorder="1" applyAlignment="1">
      <alignment horizontal="right" vertical="center"/>
    </xf>
    <xf numFmtId="0" fontId="23" fillId="8" borderId="28" xfId="0" applyFont="1" applyFill="1" applyBorder="1" applyAlignment="1">
      <alignment horizontal="center" vertical="center"/>
    </xf>
    <xf numFmtId="0" fontId="23" fillId="8" borderId="118" xfId="0" applyFont="1" applyFill="1" applyBorder="1" applyAlignment="1">
      <alignment horizontal="center" vertical="center"/>
    </xf>
    <xf numFmtId="179" fontId="23" fillId="8" borderId="119" xfId="0" applyNumberFormat="1" applyFont="1" applyFill="1" applyBorder="1" applyAlignment="1">
      <alignment horizontal="center" vertical="center"/>
    </xf>
    <xf numFmtId="179" fontId="30" fillId="0" borderId="6" xfId="0" applyNumberFormat="1" applyFont="1" applyBorder="1" applyAlignment="1">
      <alignment horizontal="distributed" vertical="center"/>
    </xf>
    <xf numFmtId="0" fontId="30" fillId="0" borderId="6" xfId="0" applyFont="1" applyBorder="1" applyAlignment="1">
      <alignment horizontal="distributed" vertical="center"/>
    </xf>
    <xf numFmtId="179" fontId="30" fillId="0" borderId="6" xfId="0" applyNumberFormat="1" applyFont="1" applyBorder="1" applyAlignment="1">
      <alignment horizontal="right" vertical="center"/>
    </xf>
    <xf numFmtId="0" fontId="30" fillId="0" borderId="9" xfId="0" applyFont="1" applyBorder="1" applyAlignment="1">
      <alignment vertical="center"/>
    </xf>
    <xf numFmtId="0" fontId="30" fillId="0" borderId="30" xfId="0" applyFont="1" applyBorder="1" applyAlignment="1">
      <alignment vertical="center"/>
    </xf>
    <xf numFmtId="179" fontId="30" fillId="0" borderId="121" xfId="0" applyNumberFormat="1" applyFont="1" applyBorder="1" applyAlignment="1">
      <alignment horizontal="left" vertical="center"/>
    </xf>
    <xf numFmtId="179" fontId="33" fillId="0" borderId="0" xfId="0" applyNumberFormat="1" applyFont="1" applyAlignment="1">
      <alignment horizontal="distributed" vertical="center"/>
    </xf>
    <xf numFmtId="0" fontId="33" fillId="0" borderId="0" xfId="0" applyFont="1" applyAlignment="1">
      <alignment horizontal="distributed" vertical="center"/>
    </xf>
    <xf numFmtId="179" fontId="30" fillId="0" borderId="40" xfId="0" applyNumberFormat="1" applyFont="1" applyBorder="1" applyAlignment="1">
      <alignment horizontal="left" vertical="center"/>
    </xf>
    <xf numFmtId="179" fontId="30" fillId="0" borderId="6" xfId="0" applyNumberFormat="1" applyFont="1" applyBorder="1" applyAlignment="1">
      <alignment horizontal="center" vertical="center"/>
    </xf>
    <xf numFmtId="0" fontId="30" fillId="0" borderId="6" xfId="0" applyFont="1" applyBorder="1" applyAlignment="1">
      <alignment horizontal="center" vertical="center"/>
    </xf>
    <xf numFmtId="179" fontId="30" fillId="0" borderId="9" xfId="0" applyNumberFormat="1" applyFont="1" applyBorder="1" applyAlignment="1">
      <alignment vertical="center"/>
    </xf>
    <xf numFmtId="179" fontId="30" fillId="0" borderId="9" xfId="0" applyNumberFormat="1" applyFont="1" applyBorder="1" applyAlignment="1">
      <alignment horizontal="center" vertical="center"/>
    </xf>
    <xf numFmtId="179" fontId="30" fillId="0" borderId="9" xfId="0" applyNumberFormat="1" applyFont="1" applyBorder="1" applyAlignment="1">
      <alignment horizontal="right" vertical="center"/>
    </xf>
    <xf numFmtId="9" fontId="30" fillId="0" borderId="9" xfId="0" applyNumberFormat="1" applyFont="1" applyBorder="1" applyAlignment="1">
      <alignment vertical="center"/>
    </xf>
    <xf numFmtId="179" fontId="30" fillId="0" borderId="30" xfId="0" applyNumberFormat="1" applyFont="1" applyBorder="1" applyAlignment="1">
      <alignment vertical="center"/>
    </xf>
    <xf numFmtId="179" fontId="30" fillId="0" borderId="6" xfId="0" applyNumberFormat="1" applyFont="1" applyBorder="1" applyAlignment="1">
      <alignment vertical="center"/>
    </xf>
    <xf numFmtId="179" fontId="33" fillId="0" borderId="0" xfId="0" applyNumberFormat="1" applyFont="1" applyAlignment="1">
      <alignment vertical="center"/>
    </xf>
    <xf numFmtId="0" fontId="30" fillId="0" borderId="3" xfId="0" applyFont="1" applyBorder="1" applyAlignment="1">
      <alignment horizontal="distributed" vertical="center"/>
    </xf>
    <xf numFmtId="179" fontId="30" fillId="0" borderId="3" xfId="0" applyNumberFormat="1" applyFont="1" applyBorder="1" applyAlignment="1">
      <alignment horizontal="right" vertical="center"/>
    </xf>
    <xf numFmtId="0" fontId="30" fillId="0" borderId="82" xfId="0" applyFont="1" applyBorder="1" applyAlignment="1">
      <alignment horizontal="distributed" vertical="center"/>
    </xf>
    <xf numFmtId="179" fontId="30" fillId="0" borderId="82" xfId="0" applyNumberFormat="1" applyFont="1" applyBorder="1" applyAlignment="1">
      <alignment horizontal="center" vertical="center"/>
    </xf>
    <xf numFmtId="0" fontId="30" fillId="0" borderId="82" xfId="0" applyFont="1" applyBorder="1" applyAlignment="1">
      <alignment horizontal="center" vertical="center"/>
    </xf>
    <xf numFmtId="179" fontId="30" fillId="0" borderId="82" xfId="0" applyNumberFormat="1" applyFont="1" applyBorder="1" applyAlignment="1">
      <alignment horizontal="right" vertical="center"/>
    </xf>
    <xf numFmtId="179" fontId="30" fillId="0" borderId="84" xfId="0" applyNumberFormat="1" applyFont="1" applyBorder="1" applyAlignment="1">
      <alignment vertical="center"/>
    </xf>
    <xf numFmtId="179" fontId="30" fillId="0" borderId="84" xfId="0" applyNumberFormat="1" applyFont="1" applyBorder="1" applyAlignment="1">
      <alignment horizontal="center" vertical="center"/>
    </xf>
    <xf numFmtId="179" fontId="30" fillId="0" borderId="84" xfId="0" applyNumberFormat="1" applyFont="1" applyBorder="1" applyAlignment="1">
      <alignment horizontal="right" vertical="center"/>
    </xf>
    <xf numFmtId="9" fontId="30" fillId="0" borderId="84" xfId="0" applyNumberFormat="1" applyFont="1" applyBorder="1" applyAlignment="1">
      <alignment vertical="center"/>
    </xf>
    <xf numFmtId="179" fontId="30" fillId="0" borderId="68" xfId="0" applyNumberFormat="1" applyFont="1" applyBorder="1" applyAlignment="1">
      <alignment vertical="center"/>
    </xf>
    <xf numFmtId="179" fontId="30" fillId="0" borderId="82" xfId="0" applyNumberFormat="1" applyFont="1" applyBorder="1" applyAlignment="1">
      <alignment vertical="center"/>
    </xf>
    <xf numFmtId="179" fontId="30" fillId="0" borderId="44" xfId="0" applyNumberFormat="1" applyFont="1" applyBorder="1" applyAlignment="1">
      <alignment horizontal="left" vertical="center"/>
    </xf>
    <xf numFmtId="179" fontId="30" fillId="0" borderId="5" xfId="0" applyNumberFormat="1" applyFont="1" applyBorder="1" applyAlignment="1">
      <alignment horizontal="distributed" vertical="center"/>
    </xf>
    <xf numFmtId="0" fontId="30" fillId="0" borderId="5" xfId="0" applyFont="1" applyBorder="1" applyAlignment="1">
      <alignment horizontal="distributed" vertical="center"/>
    </xf>
    <xf numFmtId="179" fontId="30" fillId="0" borderId="5" xfId="0" applyNumberFormat="1" applyFont="1" applyBorder="1" applyAlignment="1">
      <alignment horizontal="right" vertical="center"/>
    </xf>
    <xf numFmtId="0" fontId="30" fillId="0" borderId="25" xfId="0" applyFont="1" applyBorder="1" applyAlignment="1">
      <alignment vertical="center"/>
    </xf>
    <xf numFmtId="0" fontId="30" fillId="0" borderId="26" xfId="0" applyFont="1" applyBorder="1" applyAlignment="1">
      <alignment vertical="center"/>
    </xf>
    <xf numFmtId="0" fontId="30" fillId="0" borderId="3" xfId="0" applyFont="1" applyBorder="1" applyAlignment="1">
      <alignment horizontal="distributed" vertical="center" wrapText="1"/>
    </xf>
    <xf numFmtId="179" fontId="30" fillId="0" borderId="125" xfId="0" applyNumberFormat="1" applyFont="1" applyBorder="1" applyAlignment="1">
      <alignment vertical="center"/>
    </xf>
    <xf numFmtId="179" fontId="30" fillId="0" borderId="126" xfId="0" applyNumberFormat="1" applyFont="1" applyBorder="1" applyAlignment="1">
      <alignment horizontal="left" vertical="center"/>
    </xf>
    <xf numFmtId="179" fontId="30" fillId="0" borderId="127" xfId="0" applyNumberFormat="1" applyFont="1" applyBorder="1" applyAlignment="1">
      <alignment horizontal="distributed" vertical="center"/>
    </xf>
    <xf numFmtId="0" fontId="30" fillId="0" borderId="125" xfId="0" applyFont="1" applyBorder="1" applyAlignment="1">
      <alignment horizontal="distributed" vertical="center"/>
    </xf>
    <xf numFmtId="179" fontId="30" fillId="0" borderId="125" xfId="0" applyNumberFormat="1" applyFont="1" applyBorder="1" applyAlignment="1">
      <alignment horizontal="center" vertical="center"/>
    </xf>
    <xf numFmtId="0" fontId="30" fillId="0" borderId="125" xfId="0" applyFont="1" applyBorder="1" applyAlignment="1">
      <alignment horizontal="center" vertical="center"/>
    </xf>
    <xf numFmtId="179" fontId="30" fillId="0" borderId="125" xfId="0" applyNumberFormat="1" applyFont="1" applyBorder="1" applyAlignment="1">
      <alignment horizontal="right" vertical="center"/>
    </xf>
    <xf numFmtId="179" fontId="30" fillId="0" borderId="130" xfId="0" applyNumberFormat="1" applyFont="1" applyBorder="1" applyAlignment="1">
      <alignment vertical="center"/>
    </xf>
    <xf numFmtId="179" fontId="30" fillId="0" borderId="130" xfId="0" applyNumberFormat="1" applyFont="1" applyBorder="1" applyAlignment="1">
      <alignment horizontal="center" vertical="center"/>
    </xf>
    <xf numFmtId="179" fontId="30" fillId="0" borderId="130" xfId="0" applyNumberFormat="1" applyFont="1" applyBorder="1" applyAlignment="1">
      <alignment horizontal="right" vertical="center"/>
    </xf>
    <xf numFmtId="9" fontId="30" fillId="0" borderId="130" xfId="0" applyNumberFormat="1" applyFont="1" applyBorder="1" applyAlignment="1">
      <alignment vertical="center"/>
    </xf>
    <xf numFmtId="179" fontId="30" fillId="0" borderId="65" xfId="0" applyNumberFormat="1" applyFont="1" applyBorder="1" applyAlignment="1">
      <alignment vertical="center"/>
    </xf>
    <xf numFmtId="0" fontId="30" fillId="0" borderId="0" xfId="0" applyFont="1" applyAlignment="1">
      <alignment horizontal="distributed" vertical="center"/>
    </xf>
    <xf numFmtId="179" fontId="30" fillId="0" borderId="0" xfId="0" applyNumberFormat="1" applyFont="1" applyAlignment="1">
      <alignment vertical="center"/>
    </xf>
    <xf numFmtId="9" fontId="30" fillId="0" borderId="0" xfId="0" applyNumberFormat="1" applyFont="1" applyAlignment="1">
      <alignment vertical="center"/>
    </xf>
    <xf numFmtId="179" fontId="30" fillId="0" borderId="21" xfId="0" applyNumberFormat="1" applyFont="1" applyBorder="1" applyAlignment="1">
      <alignment vertical="center"/>
    </xf>
    <xf numFmtId="179" fontId="30" fillId="0" borderId="21" xfId="0" applyNumberFormat="1" applyFont="1" applyBorder="1" applyAlignment="1">
      <alignment horizontal="center" vertical="center"/>
    </xf>
    <xf numFmtId="179" fontId="30" fillId="0" borderId="21" xfId="0" applyNumberFormat="1" applyFont="1" applyBorder="1" applyAlignment="1">
      <alignment horizontal="right" vertical="center"/>
    </xf>
    <xf numFmtId="9" fontId="30" fillId="0" borderId="21" xfId="0" applyNumberFormat="1" applyFont="1" applyBorder="1" applyAlignment="1">
      <alignment vertical="center"/>
    </xf>
    <xf numFmtId="179" fontId="30" fillId="0" borderId="31" xfId="0" applyNumberFormat="1" applyFont="1" applyBorder="1" applyAlignment="1">
      <alignment vertical="center"/>
    </xf>
    <xf numFmtId="0" fontId="30" fillId="0" borderId="131" xfId="0" applyFont="1" applyBorder="1" applyAlignment="1">
      <alignment horizontal="center" vertical="center"/>
    </xf>
    <xf numFmtId="0" fontId="30" fillId="0" borderId="131" xfId="0" applyFont="1" applyBorder="1" applyAlignment="1">
      <alignment horizontal="distributed" vertical="center"/>
    </xf>
    <xf numFmtId="179" fontId="30" fillId="0" borderId="131" xfId="0" applyNumberFormat="1" applyFont="1" applyBorder="1" applyAlignment="1">
      <alignment horizontal="center" vertical="center"/>
    </xf>
    <xf numFmtId="179" fontId="30" fillId="0" borderId="131" xfId="0" applyNumberFormat="1" applyFont="1" applyBorder="1" applyAlignment="1">
      <alignment horizontal="right" vertical="center"/>
    </xf>
    <xf numFmtId="179" fontId="30" fillId="0" borderId="131" xfId="0" applyNumberFormat="1" applyFont="1" applyBorder="1" applyAlignment="1">
      <alignment vertical="center"/>
    </xf>
    <xf numFmtId="9" fontId="30" fillId="0" borderId="131" xfId="0" applyNumberFormat="1" applyFont="1" applyBorder="1" applyAlignment="1">
      <alignment vertical="center"/>
    </xf>
    <xf numFmtId="179" fontId="30" fillId="0" borderId="131" xfId="0" applyNumberFormat="1" applyFont="1" applyBorder="1" applyAlignment="1">
      <alignment horizontal="left" vertical="center"/>
    </xf>
    <xf numFmtId="0" fontId="29" fillId="0" borderId="0" xfId="0" applyFont="1" applyAlignment="1">
      <alignment vertical="center"/>
    </xf>
    <xf numFmtId="9" fontId="33" fillId="0" borderId="0" xfId="0" applyNumberFormat="1" applyFont="1" applyAlignment="1">
      <alignment vertical="center"/>
    </xf>
    <xf numFmtId="179" fontId="33" fillId="0" borderId="0" xfId="0" applyNumberFormat="1" applyFont="1" applyAlignment="1">
      <alignment horizontal="left" vertical="center"/>
    </xf>
    <xf numFmtId="0" fontId="29" fillId="0" borderId="0" xfId="0" applyFont="1" applyAlignment="1">
      <alignment horizontal="center" vertical="center"/>
    </xf>
    <xf numFmtId="0" fontId="25" fillId="0" borderId="132" xfId="0" applyFont="1" applyBorder="1" applyAlignment="1">
      <alignment horizontal="center" vertical="center"/>
    </xf>
    <xf numFmtId="0" fontId="25" fillId="0" borderId="133" xfId="0" applyFont="1" applyBorder="1" applyAlignment="1">
      <alignment horizontal="distributed" vertical="center"/>
    </xf>
    <xf numFmtId="0" fontId="25" fillId="0" borderId="133" xfId="0" applyFont="1" applyBorder="1" applyAlignment="1">
      <alignment horizontal="center" vertical="center"/>
    </xf>
    <xf numFmtId="179" fontId="25" fillId="0" borderId="38" xfId="0" applyNumberFormat="1" applyFont="1" applyBorder="1" applyAlignment="1">
      <alignment horizontal="center" vertical="center"/>
    </xf>
    <xf numFmtId="179" fontId="28" fillId="8" borderId="5" xfId="0" applyNumberFormat="1" applyFont="1" applyFill="1" applyBorder="1" applyAlignment="1">
      <alignment horizontal="right" vertical="center"/>
    </xf>
    <xf numFmtId="179" fontId="23" fillId="8" borderId="70" xfId="0" applyNumberFormat="1" applyFont="1" applyFill="1" applyBorder="1" applyAlignment="1">
      <alignment horizontal="center" vertical="center"/>
    </xf>
    <xf numFmtId="0" fontId="26" fillId="0" borderId="13" xfId="0" applyFont="1" applyBorder="1" applyAlignment="1">
      <alignment horizontal="center" vertical="center"/>
    </xf>
    <xf numFmtId="0" fontId="26" fillId="0" borderId="6" xfId="0" applyFont="1" applyBorder="1" applyAlignment="1">
      <alignment horizontal="distributed" vertical="center"/>
    </xf>
    <xf numFmtId="179" fontId="28" fillId="0" borderId="6" xfId="0" applyNumberFormat="1" applyFont="1" applyBorder="1" applyAlignment="1">
      <alignment horizontal="right" vertical="center"/>
    </xf>
    <xf numFmtId="179" fontId="30" fillId="0" borderId="33" xfId="0" applyNumberFormat="1" applyFont="1" applyBorder="1" applyAlignment="1">
      <alignment horizontal="center" vertical="center"/>
    </xf>
    <xf numFmtId="0" fontId="26" fillId="0" borderId="80" xfId="0" applyFont="1" applyBorder="1" applyAlignment="1">
      <alignment horizontal="center" vertical="center"/>
    </xf>
    <xf numFmtId="0" fontId="26" fillId="0" borderId="9" xfId="0" applyFont="1" applyBorder="1" applyAlignment="1">
      <alignment horizontal="distributed" vertical="center"/>
    </xf>
    <xf numFmtId="0" fontId="26" fillId="0" borderId="30" xfId="0" applyFont="1" applyBorder="1" applyAlignment="1">
      <alignment horizontal="distributed" vertical="center"/>
    </xf>
    <xf numFmtId="179" fontId="26" fillId="0" borderId="8" xfId="0" applyNumberFormat="1" applyFont="1" applyBorder="1" applyAlignment="1">
      <alignment horizontal="center" vertical="center"/>
    </xf>
    <xf numFmtId="179" fontId="26" fillId="0" borderId="9" xfId="0" applyNumberFormat="1" applyFont="1" applyBorder="1" applyAlignment="1">
      <alignment vertical="center"/>
    </xf>
    <xf numFmtId="0" fontId="26" fillId="0" borderId="9" xfId="0" applyFont="1" applyBorder="1" applyAlignment="1">
      <alignment horizontal="center" vertical="center"/>
    </xf>
    <xf numFmtId="179" fontId="26" fillId="0" borderId="9" xfId="0" applyNumberFormat="1" applyFont="1" applyBorder="1" applyAlignment="1">
      <alignment horizontal="right" vertical="center"/>
    </xf>
    <xf numFmtId="179" fontId="26" fillId="0" borderId="9" xfId="0" applyNumberFormat="1" applyFont="1" applyBorder="1" applyAlignment="1">
      <alignment horizontal="center" vertical="center"/>
    </xf>
    <xf numFmtId="179" fontId="26" fillId="0" borderId="30" xfId="0" applyNumberFormat="1" applyFont="1" applyBorder="1" applyAlignment="1">
      <alignment horizontal="right" vertical="center"/>
    </xf>
    <xf numFmtId="179" fontId="26" fillId="0" borderId="6" xfId="0" applyNumberFormat="1" applyFont="1" applyBorder="1" applyAlignment="1">
      <alignment horizontal="right" vertical="center"/>
    </xf>
    <xf numFmtId="0" fontId="26" fillId="0" borderId="12" xfId="0" applyFont="1" applyBorder="1" applyAlignment="1">
      <alignment horizontal="center" vertical="center"/>
    </xf>
    <xf numFmtId="0" fontId="26" fillId="0" borderId="3" xfId="0" applyFont="1" applyBorder="1" applyAlignment="1">
      <alignment horizontal="distributed" vertical="center"/>
    </xf>
    <xf numFmtId="0" fontId="26" fillId="0" borderId="91" xfId="0" applyFont="1" applyBorder="1" applyAlignment="1">
      <alignment horizontal="center" vertical="center"/>
    </xf>
    <xf numFmtId="0" fontId="26" fillId="0" borderId="4" xfId="0" applyFont="1" applyBorder="1" applyAlignment="1">
      <alignment horizontal="distributed" vertical="center"/>
    </xf>
    <xf numFmtId="0" fontId="26" fillId="0" borderId="20" xfId="0" applyFont="1" applyBorder="1" applyAlignment="1">
      <alignment horizontal="center" vertical="center"/>
    </xf>
    <xf numFmtId="0" fontId="26" fillId="0" borderId="5" xfId="0" applyFont="1" applyBorder="1" applyAlignment="1">
      <alignment horizontal="distributed" vertical="center"/>
    </xf>
    <xf numFmtId="0" fontId="26" fillId="0" borderId="134" xfId="0" applyFont="1" applyBorder="1" applyAlignment="1">
      <alignment horizontal="center" vertical="center"/>
    </xf>
    <xf numFmtId="0" fontId="26" fillId="0" borderId="21" xfId="0" applyFont="1" applyBorder="1" applyAlignment="1">
      <alignment horizontal="distributed" vertical="center"/>
    </xf>
    <xf numFmtId="0" fontId="26" fillId="0" borderId="31" xfId="0" applyFont="1" applyBorder="1" applyAlignment="1">
      <alignment horizontal="distributed" vertical="center"/>
    </xf>
    <xf numFmtId="0" fontId="26" fillId="0" borderId="104" xfId="0" applyFont="1" applyBorder="1" applyAlignment="1">
      <alignment horizontal="center" vertical="center"/>
    </xf>
    <xf numFmtId="0" fontId="26" fillId="0" borderId="135" xfId="0" applyFont="1" applyBorder="1" applyAlignment="1">
      <alignment horizontal="distributed" vertical="center"/>
    </xf>
    <xf numFmtId="0" fontId="26" fillId="0" borderId="136" xfId="0" applyFont="1" applyBorder="1" applyAlignment="1">
      <alignment horizontal="center" vertical="center"/>
    </xf>
    <xf numFmtId="0" fontId="26" fillId="0" borderId="26" xfId="0" applyFont="1" applyBorder="1" applyAlignment="1">
      <alignment horizontal="distributed" vertical="center"/>
    </xf>
    <xf numFmtId="0" fontId="26" fillId="0" borderId="80" xfId="0" applyFont="1" applyBorder="1" applyAlignment="1">
      <alignment horizontal="center" vertical="center" wrapText="1"/>
    </xf>
    <xf numFmtId="0" fontId="26" fillId="0" borderId="6" xfId="0" applyFont="1" applyBorder="1" applyAlignment="1">
      <alignment horizontal="center" vertical="center" wrapText="1"/>
    </xf>
    <xf numFmtId="0" fontId="26" fillId="0" borderId="30" xfId="0" applyFont="1" applyBorder="1" applyAlignment="1">
      <alignment horizontal="center" vertical="center" wrapText="1"/>
    </xf>
    <xf numFmtId="0" fontId="26" fillId="0" borderId="134" xfId="0" applyFont="1" applyBorder="1" applyAlignment="1">
      <alignment horizontal="center" vertical="center" wrapText="1"/>
    </xf>
    <xf numFmtId="0" fontId="26" fillId="0" borderId="21" xfId="0" applyFont="1" applyBorder="1" applyAlignment="1">
      <alignment horizontal="center" vertical="center" wrapText="1"/>
    </xf>
    <xf numFmtId="0" fontId="26" fillId="0" borderId="31" xfId="0" applyFont="1" applyBorder="1" applyAlignment="1">
      <alignment horizontal="center" vertical="center" wrapText="1"/>
    </xf>
    <xf numFmtId="179" fontId="26" fillId="0" borderId="8" xfId="0" applyNumberFormat="1" applyFont="1" applyBorder="1" applyAlignment="1">
      <alignment horizontal="center" vertical="center" wrapText="1"/>
    </xf>
    <xf numFmtId="0" fontId="26" fillId="0" borderId="13" xfId="0" applyFont="1" applyBorder="1" applyAlignment="1">
      <alignment horizontal="distributed" vertical="center" wrapText="1"/>
    </xf>
    <xf numFmtId="0" fontId="26" fillId="0" borderId="6" xfId="0" applyFont="1" applyBorder="1" applyAlignment="1">
      <alignment horizontal="distributed" vertical="center" wrapText="1"/>
    </xf>
    <xf numFmtId="0" fontId="26" fillId="0" borderId="43" xfId="0" applyFont="1" applyBorder="1" applyAlignment="1">
      <alignment horizontal="center" vertical="center"/>
    </xf>
    <xf numFmtId="0" fontId="26" fillId="0" borderId="84" xfId="0" applyFont="1" applyBorder="1" applyAlignment="1">
      <alignment horizontal="distributed" vertical="center"/>
    </xf>
    <xf numFmtId="0" fontId="26" fillId="0" borderId="68" xfId="0" applyFont="1" applyBorder="1" applyAlignment="1">
      <alignment horizontal="distributed" vertical="center"/>
    </xf>
    <xf numFmtId="179" fontId="26" fillId="0" borderId="83" xfId="0" applyNumberFormat="1" applyFont="1" applyBorder="1" applyAlignment="1">
      <alignment horizontal="center" vertical="center"/>
    </xf>
    <xf numFmtId="179" fontId="26" fillId="0" borderId="84" xfId="0" applyNumberFormat="1" applyFont="1" applyBorder="1" applyAlignment="1">
      <alignment vertical="center"/>
    </xf>
    <xf numFmtId="0" fontId="26" fillId="0" borderId="84" xfId="0" applyFont="1" applyBorder="1" applyAlignment="1">
      <alignment horizontal="center" vertical="center"/>
    </xf>
    <xf numFmtId="179" fontId="26" fillId="0" borderId="84" xfId="0" applyNumberFormat="1" applyFont="1" applyBorder="1" applyAlignment="1">
      <alignment horizontal="right" vertical="center"/>
    </xf>
    <xf numFmtId="179" fontId="26" fillId="0" borderId="84" xfId="0" applyNumberFormat="1" applyFont="1" applyBorder="1" applyAlignment="1">
      <alignment horizontal="center" vertical="center"/>
    </xf>
    <xf numFmtId="179" fontId="26" fillId="0" borderId="68" xfId="0" applyNumberFormat="1" applyFont="1" applyBorder="1" applyAlignment="1">
      <alignment horizontal="right" vertical="center"/>
    </xf>
    <xf numFmtId="179" fontId="26" fillId="0" borderId="82" xfId="0" applyNumberFormat="1" applyFont="1" applyBorder="1" applyAlignment="1">
      <alignment horizontal="right" vertical="center"/>
    </xf>
    <xf numFmtId="179" fontId="30" fillId="0" borderId="67" xfId="0" applyNumberFormat="1" applyFont="1" applyBorder="1" applyAlignment="1">
      <alignment horizontal="center" vertical="center"/>
    </xf>
    <xf numFmtId="176" fontId="29" fillId="0" borderId="6" xfId="0" applyNumberFormat="1" applyFont="1" applyBorder="1" applyAlignment="1">
      <alignment horizontal="right" vertical="center"/>
    </xf>
    <xf numFmtId="176" fontId="29" fillId="0" borderId="6" xfId="0" applyNumberFormat="1" applyFont="1" applyBorder="1" applyAlignment="1">
      <alignment vertical="center"/>
    </xf>
    <xf numFmtId="176" fontId="29" fillId="0" borderId="82" xfId="0" applyNumberFormat="1" applyFont="1" applyBorder="1" applyAlignment="1">
      <alignment vertical="center"/>
    </xf>
    <xf numFmtId="0" fontId="29" fillId="0" borderId="6" xfId="0" applyFont="1" applyBorder="1" applyAlignment="1">
      <alignment horizontal="distributed" vertical="center"/>
    </xf>
    <xf numFmtId="185" fontId="26" fillId="0" borderId="6" xfId="0" applyNumberFormat="1" applyFont="1" applyBorder="1" applyAlignment="1">
      <alignment horizontal="center" vertical="center"/>
    </xf>
    <xf numFmtId="176" fontId="30" fillId="0" borderId="6" xfId="0" applyNumberFormat="1" applyFont="1" applyBorder="1" applyAlignment="1">
      <alignment vertical="center"/>
    </xf>
    <xf numFmtId="0" fontId="15" fillId="0" borderId="69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5" fillId="0" borderId="73" xfId="0" applyFont="1" applyBorder="1" applyAlignment="1">
      <alignment horizontal="center" vertical="center"/>
    </xf>
    <xf numFmtId="176" fontId="28" fillId="0" borderId="7" xfId="0" applyNumberFormat="1" applyFont="1" applyBorder="1" applyAlignment="1">
      <alignment horizontal="center" vertical="center"/>
    </xf>
    <xf numFmtId="176" fontId="28" fillId="0" borderId="7" xfId="0" applyNumberFormat="1" applyFont="1" applyBorder="1" applyAlignment="1">
      <alignment horizontal="center" vertical="center" shrinkToFit="1"/>
    </xf>
    <xf numFmtId="176" fontId="25" fillId="0" borderId="5" xfId="0" applyNumberFormat="1" applyFont="1" applyBorder="1" applyAlignment="1">
      <alignment horizontal="right" vertical="center" wrapText="1"/>
    </xf>
    <xf numFmtId="178" fontId="25" fillId="0" borderId="5" xfId="0" applyNumberFormat="1" applyFont="1" applyBorder="1" applyAlignment="1">
      <alignment horizontal="center" vertical="center" wrapText="1"/>
    </xf>
    <xf numFmtId="0" fontId="25" fillId="0" borderId="70" xfId="0" applyFont="1" applyBorder="1" applyAlignment="1">
      <alignment horizontal="center" vertical="center"/>
    </xf>
    <xf numFmtId="176" fontId="27" fillId="0" borderId="0" xfId="0" applyNumberFormat="1" applyFont="1" applyAlignment="1">
      <alignment horizontal="center" vertical="center"/>
    </xf>
    <xf numFmtId="0" fontId="29" fillId="0" borderId="13" xfId="0" applyFont="1" applyBorder="1" applyAlignment="1">
      <alignment horizontal="distributed" vertical="center"/>
    </xf>
    <xf numFmtId="178" fontId="29" fillId="0" borderId="6" xfId="0" applyNumberFormat="1" applyFont="1" applyBorder="1" applyAlignment="1">
      <alignment horizontal="center" vertical="center" wrapText="1"/>
    </xf>
    <xf numFmtId="176" fontId="33" fillId="0" borderId="33" xfId="0" applyNumberFormat="1" applyFont="1" applyBorder="1" applyAlignment="1">
      <alignment vertical="center"/>
    </xf>
    <xf numFmtId="0" fontId="29" fillId="0" borderId="12" xfId="0" applyFont="1" applyBorder="1" applyAlignment="1">
      <alignment horizontal="distributed" vertical="center"/>
    </xf>
    <xf numFmtId="0" fontId="33" fillId="0" borderId="33" xfId="0" applyFont="1" applyBorder="1" applyAlignment="1">
      <alignment vertical="center"/>
    </xf>
    <xf numFmtId="0" fontId="29" fillId="0" borderId="20" xfId="0" applyFont="1" applyBorder="1" applyAlignment="1">
      <alignment horizontal="distributed" vertical="center"/>
    </xf>
    <xf numFmtId="0" fontId="29" fillId="12" borderId="20" xfId="0" applyFont="1" applyFill="1" applyBorder="1" applyAlignment="1">
      <alignment horizontal="distributed" vertical="center"/>
    </xf>
    <xf numFmtId="176" fontId="29" fillId="12" borderId="6" xfId="0" applyNumberFormat="1" applyFont="1" applyFill="1" applyBorder="1" applyAlignment="1">
      <alignment horizontal="right" vertical="center"/>
    </xf>
    <xf numFmtId="176" fontId="29" fillId="12" borderId="6" xfId="0" applyNumberFormat="1" applyFont="1" applyFill="1" applyBorder="1" applyAlignment="1">
      <alignment vertical="center"/>
    </xf>
    <xf numFmtId="178" fontId="29" fillId="12" borderId="5" xfId="0" applyNumberFormat="1" applyFont="1" applyFill="1" applyBorder="1" applyAlignment="1">
      <alignment horizontal="center" vertical="center" wrapText="1"/>
    </xf>
    <xf numFmtId="0" fontId="33" fillId="12" borderId="33" xfId="0" applyFont="1" applyFill="1" applyBorder="1" applyAlignment="1">
      <alignment vertical="center"/>
    </xf>
    <xf numFmtId="178" fontId="29" fillId="0" borderId="5" xfId="0" applyNumberFormat="1" applyFont="1" applyBorder="1" applyAlignment="1">
      <alignment horizontal="center" vertical="center" wrapText="1"/>
    </xf>
    <xf numFmtId="0" fontId="29" fillId="0" borderId="91" xfId="0" applyFont="1" applyBorder="1" applyAlignment="1">
      <alignment horizontal="distributed" vertical="center"/>
    </xf>
    <xf numFmtId="0" fontId="29" fillId="0" borderId="3" xfId="0" applyFont="1" applyBorder="1" applyAlignment="1">
      <alignment horizontal="distributed" vertical="center"/>
    </xf>
    <xf numFmtId="0" fontId="26" fillId="0" borderId="33" xfId="0" applyFont="1" applyBorder="1" applyAlignment="1">
      <alignment vertical="center" wrapText="1"/>
    </xf>
    <xf numFmtId="0" fontId="29" fillId="0" borderId="5" xfId="0" applyFont="1" applyBorder="1" applyAlignment="1">
      <alignment horizontal="distributed" vertical="center"/>
    </xf>
    <xf numFmtId="0" fontId="26" fillId="0" borderId="33" xfId="0" applyFont="1" applyBorder="1" applyAlignment="1">
      <alignment horizontal="left" vertical="center" wrapText="1"/>
    </xf>
    <xf numFmtId="0" fontId="29" fillId="0" borderId="4" xfId="0" applyFont="1" applyBorder="1" applyAlignment="1">
      <alignment horizontal="distributed" vertical="center"/>
    </xf>
    <xf numFmtId="0" fontId="29" fillId="12" borderId="13" xfId="0" applyFont="1" applyFill="1" applyBorder="1" applyAlignment="1">
      <alignment horizontal="distributed" vertical="center"/>
    </xf>
    <xf numFmtId="0" fontId="27" fillId="12" borderId="33" xfId="0" applyFont="1" applyFill="1" applyBorder="1" applyAlignment="1">
      <alignment vertical="center"/>
    </xf>
    <xf numFmtId="0" fontId="27" fillId="0" borderId="0" xfId="0" applyFont="1" applyAlignment="1">
      <alignment vertical="center"/>
    </xf>
    <xf numFmtId="0" fontId="27" fillId="0" borderId="33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9" fillId="0" borderId="71" xfId="0" applyFont="1" applyBorder="1" applyAlignment="1">
      <alignment horizontal="distributed" vertical="center"/>
    </xf>
    <xf numFmtId="0" fontId="29" fillId="0" borderId="93" xfId="0" applyFont="1" applyBorder="1" applyAlignment="1">
      <alignment horizontal="distributed" vertical="center"/>
    </xf>
    <xf numFmtId="0" fontId="29" fillId="0" borderId="82" xfId="0" applyFont="1" applyBorder="1" applyAlignment="1">
      <alignment horizontal="distributed" vertical="center"/>
    </xf>
    <xf numFmtId="178" fontId="29" fillId="0" borderId="93" xfId="0" applyNumberFormat="1" applyFont="1" applyBorder="1" applyAlignment="1">
      <alignment horizontal="center" vertical="center" wrapText="1"/>
    </xf>
    <xf numFmtId="0" fontId="26" fillId="0" borderId="67" xfId="0" applyFont="1" applyBorder="1" applyAlignment="1">
      <alignment vertical="center" wrapText="1"/>
    </xf>
    <xf numFmtId="0" fontId="26" fillId="0" borderId="29" xfId="0" applyFont="1" applyBorder="1" applyAlignment="1">
      <alignment vertical="center"/>
    </xf>
    <xf numFmtId="176" fontId="26" fillId="0" borderId="29" xfId="0" applyNumberFormat="1" applyFont="1" applyBorder="1" applyAlignment="1">
      <alignment horizontal="center" vertical="center"/>
    </xf>
    <xf numFmtId="0" fontId="33" fillId="0" borderId="29" xfId="0" applyFont="1" applyBorder="1" applyAlignment="1">
      <alignment vertical="center"/>
    </xf>
    <xf numFmtId="0" fontId="26" fillId="0" borderId="0" xfId="0" applyFont="1" applyAlignment="1">
      <alignment horizontal="center" vertical="center"/>
    </xf>
    <xf numFmtId="0" fontId="21" fillId="0" borderId="0" xfId="0" applyFont="1" applyAlignment="1">
      <alignment vertical="center"/>
    </xf>
    <xf numFmtId="0" fontId="25" fillId="0" borderId="5" xfId="0" applyFont="1" applyBorder="1" applyAlignment="1">
      <alignment horizontal="center" vertical="center"/>
    </xf>
    <xf numFmtId="186" fontId="26" fillId="0" borderId="6" xfId="0" applyNumberFormat="1" applyFont="1" applyBorder="1" applyAlignment="1">
      <alignment horizontal="center" vertical="center"/>
    </xf>
    <xf numFmtId="0" fontId="29" fillId="0" borderId="6" xfId="0" applyFont="1" applyBorder="1" applyAlignment="1">
      <alignment vertical="center" shrinkToFit="1"/>
    </xf>
    <xf numFmtId="0" fontId="30" fillId="0" borderId="33" xfId="0" applyFont="1" applyBorder="1" applyAlignment="1">
      <alignment vertical="center" wrapText="1"/>
    </xf>
    <xf numFmtId="186" fontId="26" fillId="0" borderId="82" xfId="0" applyNumberFormat="1" applyFont="1" applyBorder="1" applyAlignment="1">
      <alignment horizontal="center" vertical="center"/>
    </xf>
    <xf numFmtId="0" fontId="38" fillId="0" borderId="0" xfId="0" applyFont="1" applyAlignment="1">
      <alignment vertical="center"/>
    </xf>
    <xf numFmtId="0" fontId="29" fillId="0" borderId="49" xfId="0" applyFont="1" applyBorder="1" applyAlignment="1">
      <alignment horizontal="center" vertical="center"/>
    </xf>
    <xf numFmtId="0" fontId="25" fillId="0" borderId="50" xfId="0" applyFont="1" applyBorder="1" applyAlignment="1">
      <alignment horizontal="center" vertical="center"/>
    </xf>
    <xf numFmtId="184" fontId="25" fillId="0" borderId="5" xfId="0" applyNumberFormat="1" applyFont="1" applyBorder="1" applyAlignment="1">
      <alignment horizontal="center" vertical="center" wrapText="1"/>
    </xf>
    <xf numFmtId="0" fontId="26" fillId="0" borderId="6" xfId="0" applyFont="1" applyBorder="1" applyAlignment="1">
      <alignment horizontal="center" vertical="center"/>
    </xf>
    <xf numFmtId="41" fontId="33" fillId="0" borderId="33" xfId="18" applyFont="1" applyBorder="1">
      <alignment vertical="center"/>
    </xf>
    <xf numFmtId="176" fontId="33" fillId="0" borderId="0" xfId="0" applyNumberFormat="1" applyFont="1" applyAlignment="1">
      <alignment vertical="center"/>
    </xf>
    <xf numFmtId="0" fontId="29" fillId="0" borderId="6" xfId="0" applyFont="1" applyBorder="1" applyAlignment="1">
      <alignment horizontal="distributed" vertical="center" wrapText="1"/>
    </xf>
    <xf numFmtId="0" fontId="26" fillId="19" borderId="6" xfId="0" applyFont="1" applyFill="1" applyBorder="1" applyAlignment="1">
      <alignment horizontal="distributed" vertical="center"/>
    </xf>
    <xf numFmtId="0" fontId="29" fillId="0" borderId="33" xfId="0" applyFont="1" applyBorder="1" applyAlignment="1">
      <alignment vertical="center" wrapText="1" shrinkToFit="1"/>
    </xf>
    <xf numFmtId="0" fontId="33" fillId="0" borderId="33" xfId="0" applyFont="1" applyBorder="1" applyAlignment="1">
      <alignment vertical="center" shrinkToFit="1"/>
    </xf>
    <xf numFmtId="0" fontId="29" fillId="0" borderId="33" xfId="0" applyFont="1" applyBorder="1" applyAlignment="1">
      <alignment vertical="center"/>
    </xf>
    <xf numFmtId="0" fontId="26" fillId="0" borderId="6" xfId="0" applyFont="1" applyBorder="1" applyAlignment="1">
      <alignment vertical="center" shrinkToFit="1"/>
    </xf>
    <xf numFmtId="0" fontId="29" fillId="0" borderId="33" xfId="0" applyFont="1" applyBorder="1" applyAlignment="1">
      <alignment vertical="center" shrinkToFit="1"/>
    </xf>
    <xf numFmtId="0" fontId="31" fillId="0" borderId="6" xfId="0" applyFont="1" applyBorder="1" applyAlignment="1">
      <alignment horizontal="distributed" vertical="center"/>
    </xf>
    <xf numFmtId="0" fontId="26" fillId="0" borderId="33" xfId="0" applyFont="1" applyBorder="1" applyAlignment="1">
      <alignment vertical="center" shrinkToFit="1"/>
    </xf>
    <xf numFmtId="0" fontId="29" fillId="0" borderId="33" xfId="0" applyFont="1" applyBorder="1" applyAlignment="1">
      <alignment vertical="center" wrapText="1"/>
    </xf>
    <xf numFmtId="0" fontId="26" fillId="0" borderId="82" xfId="0" applyFont="1" applyBorder="1" applyAlignment="1">
      <alignment horizontal="distributed" vertical="center"/>
    </xf>
    <xf numFmtId="185" fontId="26" fillId="0" borderId="82" xfId="0" applyNumberFormat="1" applyFont="1" applyBorder="1" applyAlignment="1">
      <alignment horizontal="center" vertical="center"/>
    </xf>
    <xf numFmtId="0" fontId="33" fillId="0" borderId="67" xfId="0" applyFont="1" applyBorder="1" applyAlignment="1">
      <alignment vertical="center"/>
    </xf>
    <xf numFmtId="176" fontId="29" fillId="0" borderId="29" xfId="0" applyNumberFormat="1" applyFont="1" applyBorder="1" applyAlignment="1">
      <alignment vertical="center"/>
    </xf>
    <xf numFmtId="0" fontId="29" fillId="0" borderId="29" xfId="0" applyFont="1" applyBorder="1" applyAlignment="1">
      <alignment vertical="center"/>
    </xf>
    <xf numFmtId="0" fontId="25" fillId="0" borderId="110" xfId="0" applyFont="1" applyBorder="1" applyAlignment="1">
      <alignment horizontal="center" vertical="center"/>
    </xf>
    <xf numFmtId="0" fontId="33" fillId="0" borderId="33" xfId="0" applyFont="1" applyBorder="1" applyAlignment="1">
      <alignment vertical="center" wrapText="1"/>
    </xf>
    <xf numFmtId="0" fontId="26" fillId="0" borderId="6" xfId="0" applyFont="1" applyFill="1" applyBorder="1" applyAlignment="1">
      <alignment horizontal="distributed" vertical="center"/>
    </xf>
    <xf numFmtId="0" fontId="21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176" fontId="22" fillId="0" borderId="0" xfId="0" applyNumberFormat="1" applyFont="1" applyAlignment="1">
      <alignment vertical="center"/>
    </xf>
    <xf numFmtId="179" fontId="24" fillId="0" borderId="0" xfId="0" applyNumberFormat="1" applyFont="1" applyAlignment="1">
      <alignment vertical="center"/>
    </xf>
    <xf numFmtId="0" fontId="24" fillId="0" borderId="0" xfId="0" applyFont="1" applyAlignment="1">
      <alignment vertical="center"/>
    </xf>
    <xf numFmtId="176" fontId="24" fillId="0" borderId="0" xfId="0" applyNumberFormat="1" applyFont="1" applyAlignment="1">
      <alignment vertical="center"/>
    </xf>
    <xf numFmtId="0" fontId="24" fillId="0" borderId="0" xfId="0" applyFont="1" applyBorder="1" applyAlignment="1">
      <alignment vertical="center"/>
    </xf>
    <xf numFmtId="0" fontId="23" fillId="0" borderId="7" xfId="0" applyFont="1" applyBorder="1" applyAlignment="1">
      <alignment horizontal="center" vertical="center"/>
    </xf>
    <xf numFmtId="41" fontId="25" fillId="0" borderId="0" xfId="0" applyNumberFormat="1" applyFont="1" applyAlignment="1">
      <alignment horizontal="center" vertical="center"/>
    </xf>
    <xf numFmtId="0" fontId="29" fillId="0" borderId="5" xfId="0" applyFont="1" applyBorder="1" applyAlignment="1">
      <alignment horizontal="center" vertical="center"/>
    </xf>
    <xf numFmtId="179" fontId="25" fillId="0" borderId="5" xfId="0" applyNumberFormat="1" applyFont="1" applyBorder="1" applyAlignment="1">
      <alignment horizontal="right" vertical="center" wrapText="1"/>
    </xf>
    <xf numFmtId="176" fontId="25" fillId="0" borderId="6" xfId="0" applyNumberFormat="1" applyFont="1" applyBorder="1" applyAlignment="1">
      <alignment horizontal="right" vertical="center"/>
    </xf>
    <xf numFmtId="178" fontId="23" fillId="0" borderId="5" xfId="0" applyNumberFormat="1" applyFont="1" applyBorder="1" applyAlignment="1">
      <alignment horizontal="center" vertical="center" wrapText="1"/>
    </xf>
    <xf numFmtId="179" fontId="23" fillId="0" borderId="0" xfId="0" applyNumberFormat="1" applyFont="1" applyAlignment="1">
      <alignment horizontal="center" vertical="center"/>
    </xf>
    <xf numFmtId="41" fontId="23" fillId="0" borderId="0" xfId="0" applyNumberFormat="1" applyFont="1" applyAlignment="1">
      <alignment horizontal="center" vertical="center"/>
    </xf>
    <xf numFmtId="0" fontId="29" fillId="0" borderId="6" xfId="0" applyFont="1" applyBorder="1" applyAlignment="1">
      <alignment vertical="center"/>
    </xf>
    <xf numFmtId="179" fontId="29" fillId="0" borderId="6" xfId="0" applyNumberFormat="1" applyFont="1" applyBorder="1" applyAlignment="1">
      <alignment horizontal="right" vertical="center"/>
    </xf>
    <xf numFmtId="178" fontId="30" fillId="0" borderId="6" xfId="0" applyNumberFormat="1" applyFont="1" applyBorder="1" applyAlignment="1">
      <alignment horizontal="center" vertical="center" wrapText="1"/>
    </xf>
    <xf numFmtId="176" fontId="30" fillId="0" borderId="9" xfId="0" applyNumberFormat="1" applyFont="1" applyBorder="1" applyAlignment="1">
      <alignment horizontal="right" vertical="center"/>
    </xf>
    <xf numFmtId="176" fontId="30" fillId="0" borderId="14" xfId="0" applyNumberFormat="1" applyFont="1" applyBorder="1" applyAlignment="1">
      <alignment horizontal="left" vertical="center"/>
    </xf>
    <xf numFmtId="179" fontId="29" fillId="0" borderId="6" xfId="0" applyNumberFormat="1" applyFont="1" applyBorder="1" applyAlignment="1">
      <alignment vertical="center"/>
    </xf>
    <xf numFmtId="178" fontId="30" fillId="0" borderId="5" xfId="0" applyNumberFormat="1" applyFont="1" applyBorder="1" applyAlignment="1">
      <alignment horizontal="center" vertical="center" wrapText="1"/>
    </xf>
    <xf numFmtId="0" fontId="29" fillId="0" borderId="3" xfId="0" applyFont="1" applyBorder="1" applyAlignment="1">
      <alignment horizontal="distributed" vertical="center" wrapText="1"/>
    </xf>
    <xf numFmtId="176" fontId="30" fillId="0" borderId="14" xfId="0" applyNumberFormat="1" applyFont="1" applyBorder="1" applyAlignment="1">
      <alignment vertical="center"/>
    </xf>
    <xf numFmtId="176" fontId="30" fillId="0" borderId="14" xfId="0" applyNumberFormat="1" applyFont="1" applyBorder="1" applyAlignment="1">
      <alignment horizontal="right" vertical="center"/>
    </xf>
    <xf numFmtId="0" fontId="29" fillId="0" borderId="4" xfId="0" applyFont="1" applyBorder="1" applyAlignment="1">
      <alignment horizontal="distributed" vertical="center" wrapText="1"/>
    </xf>
    <xf numFmtId="0" fontId="29" fillId="0" borderId="5" xfId="0" applyFont="1" applyBorder="1" applyAlignment="1">
      <alignment vertical="center" shrinkToFit="1"/>
    </xf>
    <xf numFmtId="0" fontId="29" fillId="0" borderId="5" xfId="0" applyFont="1" applyBorder="1" applyAlignment="1">
      <alignment horizontal="distributed" vertical="center" wrapText="1"/>
    </xf>
    <xf numFmtId="179" fontId="29" fillId="0" borderId="5" xfId="0" applyNumberFormat="1" applyFont="1" applyBorder="1" applyAlignment="1">
      <alignment vertical="center"/>
    </xf>
    <xf numFmtId="182" fontId="30" fillId="0" borderId="0" xfId="0" applyNumberFormat="1" applyFont="1" applyAlignment="1">
      <alignment vertical="center"/>
    </xf>
    <xf numFmtId="41" fontId="30" fillId="0" borderId="0" xfId="0" applyNumberFormat="1" applyFont="1" applyAlignment="1">
      <alignment vertical="center"/>
    </xf>
    <xf numFmtId="179" fontId="29" fillId="0" borderId="3" xfId="0" applyNumberFormat="1" applyFont="1" applyBorder="1" applyAlignment="1">
      <alignment horizontal="right" vertical="center"/>
    </xf>
    <xf numFmtId="176" fontId="29" fillId="0" borderId="3" xfId="0" applyNumberFormat="1" applyFont="1" applyBorder="1" applyAlignment="1">
      <alignment horizontal="right" vertical="center"/>
    </xf>
    <xf numFmtId="41" fontId="30" fillId="20" borderId="0" xfId="18" applyFont="1" applyFill="1">
      <alignment vertical="center"/>
    </xf>
    <xf numFmtId="182" fontId="30" fillId="20" borderId="0" xfId="0" applyNumberFormat="1" applyFont="1" applyFill="1" applyAlignment="1">
      <alignment vertical="center"/>
    </xf>
    <xf numFmtId="176" fontId="30" fillId="0" borderId="8" xfId="0" applyNumberFormat="1" applyFont="1" applyBorder="1" applyAlignment="1">
      <alignment vertical="center"/>
    </xf>
    <xf numFmtId="176" fontId="30" fillId="0" borderId="9" xfId="0" applyNumberFormat="1" applyFont="1" applyBorder="1" applyAlignment="1">
      <alignment vertical="center"/>
    </xf>
    <xf numFmtId="0" fontId="30" fillId="0" borderId="9" xfId="0" applyNumberFormat="1" applyFont="1" applyBorder="1" applyAlignment="1">
      <alignment vertical="center"/>
    </xf>
    <xf numFmtId="176" fontId="30" fillId="0" borderId="9" xfId="0" applyNumberFormat="1" applyFont="1" applyBorder="1" applyAlignment="1">
      <alignment vertical="center" wrapText="1"/>
    </xf>
    <xf numFmtId="0" fontId="29" fillId="0" borderId="82" xfId="0" applyFont="1" applyBorder="1" applyAlignment="1">
      <alignment horizontal="distributed" vertical="center" wrapText="1"/>
    </xf>
    <xf numFmtId="179" fontId="29" fillId="0" borderId="82" xfId="0" applyNumberFormat="1" applyFont="1" applyBorder="1" applyAlignment="1">
      <alignment vertical="center"/>
    </xf>
    <xf numFmtId="176" fontId="29" fillId="0" borderId="82" xfId="0" applyNumberFormat="1" applyFont="1" applyBorder="1" applyAlignment="1">
      <alignment horizontal="right" vertical="center"/>
    </xf>
    <xf numFmtId="178" fontId="30" fillId="0" borderId="82" xfId="0" applyNumberFormat="1" applyFont="1" applyBorder="1" applyAlignment="1">
      <alignment horizontal="center" vertical="center" wrapText="1"/>
    </xf>
    <xf numFmtId="176" fontId="29" fillId="0" borderId="5" xfId="0" applyNumberFormat="1" applyFont="1" applyBorder="1" applyAlignment="1">
      <alignment horizontal="right" vertical="center"/>
    </xf>
    <xf numFmtId="179" fontId="29" fillId="0" borderId="3" xfId="0" applyNumberFormat="1" applyFont="1" applyBorder="1" applyAlignment="1">
      <alignment vertical="center"/>
    </xf>
    <xf numFmtId="0" fontId="29" fillId="0" borderId="92" xfId="0" applyFont="1" applyBorder="1" applyAlignment="1">
      <alignment horizontal="distributed" vertical="center"/>
    </xf>
    <xf numFmtId="179" fontId="29" fillId="0" borderId="4" xfId="0" applyNumberFormat="1" applyFont="1" applyBorder="1" applyAlignment="1">
      <alignment vertical="center"/>
    </xf>
    <xf numFmtId="0" fontId="29" fillId="0" borderId="15" xfId="0" applyFont="1" applyBorder="1" applyAlignment="1">
      <alignment horizontal="distributed" vertical="center"/>
    </xf>
    <xf numFmtId="178" fontId="30" fillId="0" borderId="93" xfId="0" applyNumberFormat="1" applyFont="1" applyBorder="1" applyAlignment="1">
      <alignment horizontal="center" vertical="center" wrapText="1"/>
    </xf>
    <xf numFmtId="0" fontId="30" fillId="0" borderId="0" xfId="0" applyFont="1" applyBorder="1" applyAlignment="1">
      <alignment horizontal="distributed" vertical="center"/>
    </xf>
    <xf numFmtId="0" fontId="30" fillId="0" borderId="0" xfId="0" applyFont="1" applyBorder="1" applyAlignment="1">
      <alignment horizontal="distributed" vertical="center" wrapText="1"/>
    </xf>
    <xf numFmtId="179" fontId="30" fillId="0" borderId="0" xfId="0" applyNumberFormat="1" applyFont="1" applyBorder="1" applyAlignment="1">
      <alignment vertical="center"/>
    </xf>
    <xf numFmtId="176" fontId="30" fillId="0" borderId="0" xfId="0" applyNumberFormat="1" applyFont="1" applyBorder="1" applyAlignment="1">
      <alignment horizontal="right" vertical="center"/>
    </xf>
    <xf numFmtId="176" fontId="30" fillId="0" borderId="0" xfId="0" applyNumberFormat="1" applyFont="1" applyBorder="1" applyAlignment="1">
      <alignment vertical="center"/>
    </xf>
    <xf numFmtId="176" fontId="30" fillId="0" borderId="0" xfId="0" applyNumberFormat="1" applyFont="1" applyBorder="1" applyAlignment="1">
      <alignment horizontal="left" vertical="center"/>
    </xf>
    <xf numFmtId="0" fontId="33" fillId="0" borderId="0" xfId="0" applyFont="1" applyBorder="1" applyAlignment="1">
      <alignment horizontal="left" vertical="center"/>
    </xf>
    <xf numFmtId="176" fontId="30" fillId="0" borderId="0" xfId="0" applyNumberFormat="1" applyFont="1" applyAlignment="1">
      <alignment horizontal="right" vertical="center"/>
    </xf>
    <xf numFmtId="0" fontId="30" fillId="0" borderId="0" xfId="0" applyFont="1" applyBorder="1" applyAlignment="1">
      <alignment vertical="center"/>
    </xf>
    <xf numFmtId="176" fontId="30" fillId="0" borderId="0" xfId="0" applyNumberFormat="1" applyFont="1" applyAlignment="1">
      <alignment vertical="center"/>
    </xf>
    <xf numFmtId="0" fontId="32" fillId="0" borderId="0" xfId="0" applyFont="1" applyAlignment="1">
      <alignment vertical="center"/>
    </xf>
    <xf numFmtId="179" fontId="32" fillId="0" borderId="0" xfId="0" applyNumberFormat="1" applyFont="1" applyAlignment="1">
      <alignment vertical="center"/>
    </xf>
    <xf numFmtId="176" fontId="32" fillId="0" borderId="0" xfId="0" applyNumberFormat="1" applyFont="1" applyAlignment="1">
      <alignment vertical="center"/>
    </xf>
    <xf numFmtId="0" fontId="32" fillId="0" borderId="0" xfId="0" applyFont="1" applyBorder="1" applyAlignment="1">
      <alignment vertical="center"/>
    </xf>
    <xf numFmtId="0" fontId="27" fillId="0" borderId="0" xfId="0" applyFont="1" applyAlignment="1">
      <alignment horizontal="center" vertical="center" wrapText="1"/>
    </xf>
    <xf numFmtId="0" fontId="29" fillId="0" borderId="13" xfId="0" applyFont="1" applyBorder="1" applyAlignment="1">
      <alignment horizontal="distributed" vertical="center" wrapText="1"/>
    </xf>
    <xf numFmtId="0" fontId="25" fillId="0" borderId="6" xfId="0" applyFont="1" applyBorder="1" applyAlignment="1">
      <alignment horizontal="distributed" vertical="center"/>
    </xf>
    <xf numFmtId="0" fontId="29" fillId="0" borderId="91" xfId="0" applyFont="1" applyBorder="1" applyAlignment="1">
      <alignment horizontal="distributed" vertical="center" wrapText="1"/>
    </xf>
    <xf numFmtId="176" fontId="30" fillId="0" borderId="15" xfId="0" applyNumberFormat="1" applyFont="1" applyBorder="1" applyAlignment="1">
      <alignment horizontal="left" vertical="center"/>
    </xf>
    <xf numFmtId="176" fontId="30" fillId="0" borderId="25" xfId="0" applyNumberFormat="1" applyFont="1" applyBorder="1" applyAlignment="1">
      <alignment horizontal="left" vertical="center"/>
    </xf>
    <xf numFmtId="176" fontId="30" fillId="0" borderId="35" xfId="0" applyNumberFormat="1" applyFont="1" applyBorder="1" applyAlignment="1">
      <alignment horizontal="left" vertical="center"/>
    </xf>
    <xf numFmtId="176" fontId="26" fillId="0" borderId="8" xfId="0" applyNumberFormat="1" applyFont="1" applyBorder="1" applyAlignment="1">
      <alignment horizontal="left" vertical="center"/>
    </xf>
    <xf numFmtId="0" fontId="33" fillId="0" borderId="9" xfId="0" applyFont="1" applyBorder="1" applyAlignment="1">
      <alignment horizontal="left" vertical="center"/>
    </xf>
    <xf numFmtId="0" fontId="33" fillId="0" borderId="14" xfId="0" applyFont="1" applyBorder="1" applyAlignment="1">
      <alignment horizontal="left" vertical="center"/>
    </xf>
    <xf numFmtId="176" fontId="23" fillId="0" borderId="0" xfId="0" applyNumberFormat="1" applyFont="1" applyAlignment="1">
      <alignment vertical="center"/>
    </xf>
    <xf numFmtId="41" fontId="25" fillId="0" borderId="0" xfId="18" applyFont="1" applyBorder="1" applyAlignment="1">
      <alignment horizontal="right" vertical="center" shrinkToFit="1"/>
    </xf>
    <xf numFmtId="38" fontId="25" fillId="0" borderId="0" xfId="0" applyNumberFormat="1" applyFont="1" applyBorder="1" applyAlignment="1">
      <alignment horizontal="center" vertical="center" shrinkToFit="1"/>
    </xf>
    <xf numFmtId="0" fontId="22" fillId="0" borderId="0" xfId="0" applyFont="1" applyBorder="1" applyAlignment="1">
      <alignment vertical="center"/>
    </xf>
    <xf numFmtId="38" fontId="29" fillId="11" borderId="0" xfId="0" applyNumberFormat="1" applyFont="1" applyFill="1" applyBorder="1" applyAlignment="1">
      <alignment vertical="center" shrinkToFit="1"/>
    </xf>
    <xf numFmtId="41" fontId="27" fillId="11" borderId="0" xfId="0" applyNumberFormat="1" applyFont="1" applyFill="1" applyBorder="1" applyAlignment="1">
      <alignment vertical="center"/>
    </xf>
    <xf numFmtId="38" fontId="29" fillId="15" borderId="0" xfId="0" applyNumberFormat="1" applyFont="1" applyFill="1" applyBorder="1" applyAlignment="1">
      <alignment vertical="center" shrinkToFit="1"/>
    </xf>
    <xf numFmtId="41" fontId="27" fillId="15" borderId="0" xfId="0" applyNumberFormat="1" applyFont="1" applyFill="1" applyBorder="1" applyAlignment="1">
      <alignment vertical="center"/>
    </xf>
    <xf numFmtId="38" fontId="29" fillId="14" borderId="0" xfId="0" applyNumberFormat="1" applyFont="1" applyFill="1" applyBorder="1" applyAlignment="1">
      <alignment vertical="center" shrinkToFit="1"/>
    </xf>
    <xf numFmtId="41" fontId="27" fillId="14" borderId="0" xfId="0" applyNumberFormat="1" applyFont="1" applyFill="1" applyBorder="1" applyAlignment="1">
      <alignment vertical="center"/>
    </xf>
    <xf numFmtId="176" fontId="25" fillId="0" borderId="7" xfId="0" applyNumberFormat="1" applyFont="1" applyBorder="1" applyAlignment="1">
      <alignment horizontal="center" vertical="center"/>
    </xf>
    <xf numFmtId="176" fontId="25" fillId="0" borderId="7" xfId="0" applyNumberFormat="1" applyFont="1" applyBorder="1" applyAlignment="1">
      <alignment horizontal="center" vertical="center" shrinkToFit="1"/>
    </xf>
    <xf numFmtId="38" fontId="29" fillId="18" borderId="0" xfId="0" applyNumberFormat="1" applyFont="1" applyFill="1" applyBorder="1" applyAlignment="1">
      <alignment vertical="center" shrinkToFit="1"/>
    </xf>
    <xf numFmtId="41" fontId="27" fillId="18" borderId="0" xfId="0" applyNumberFormat="1" applyFont="1" applyFill="1" applyBorder="1" applyAlignment="1">
      <alignment vertical="center"/>
    </xf>
    <xf numFmtId="0" fontId="26" fillId="0" borderId="5" xfId="0" applyFont="1" applyBorder="1" applyAlignment="1">
      <alignment horizontal="center" vertical="center"/>
    </xf>
    <xf numFmtId="178" fontId="23" fillId="0" borderId="5" xfId="0" applyNumberFormat="1" applyFont="1" applyBorder="1" applyAlignment="1">
      <alignment horizontal="right" vertical="center" wrapText="1"/>
    </xf>
    <xf numFmtId="38" fontId="29" fillId="13" borderId="0" xfId="0" applyNumberFormat="1" applyFont="1" applyFill="1" applyBorder="1" applyAlignment="1">
      <alignment vertical="center" shrinkToFit="1"/>
    </xf>
    <xf numFmtId="41" fontId="27" fillId="13" borderId="0" xfId="0" applyNumberFormat="1" applyFont="1" applyFill="1" applyBorder="1" applyAlignment="1">
      <alignment vertical="center"/>
    </xf>
    <xf numFmtId="179" fontId="27" fillId="0" borderId="0" xfId="0" applyNumberFormat="1" applyFont="1" applyAlignment="1">
      <alignment horizontal="center" vertical="center"/>
    </xf>
    <xf numFmtId="0" fontId="26" fillId="0" borderId="13" xfId="0" applyFont="1" applyBorder="1" applyAlignment="1">
      <alignment horizontal="distributed" vertical="center"/>
    </xf>
    <xf numFmtId="0" fontId="26" fillId="0" borderId="8" xfId="0" applyFont="1" applyBorder="1" applyAlignment="1">
      <alignment horizontal="distributed" vertical="center"/>
    </xf>
    <xf numFmtId="178" fontId="30" fillId="0" borderId="6" xfId="0" applyNumberFormat="1" applyFont="1" applyBorder="1" applyAlignment="1">
      <alignment horizontal="right" vertical="center"/>
    </xf>
    <xf numFmtId="38" fontId="29" fillId="11" borderId="69" xfId="0" applyNumberFormat="1" applyFont="1" applyFill="1" applyBorder="1" applyAlignment="1">
      <alignment horizontal="center" vertical="center" shrinkToFit="1"/>
    </xf>
    <xf numFmtId="38" fontId="29" fillId="15" borderId="69" xfId="0" applyNumberFormat="1" applyFont="1" applyFill="1" applyBorder="1" applyAlignment="1">
      <alignment horizontal="center" vertical="center" shrinkToFit="1"/>
    </xf>
    <xf numFmtId="38" fontId="29" fillId="14" borderId="69" xfId="0" applyNumberFormat="1" applyFont="1" applyFill="1" applyBorder="1" applyAlignment="1">
      <alignment horizontal="center" vertical="center" shrinkToFit="1"/>
    </xf>
    <xf numFmtId="38" fontId="29" fillId="18" borderId="69" xfId="0" applyNumberFormat="1" applyFont="1" applyFill="1" applyBorder="1" applyAlignment="1">
      <alignment horizontal="center" vertical="center" shrinkToFit="1"/>
    </xf>
    <xf numFmtId="38" fontId="29" fillId="13" borderId="69" xfId="0" applyNumberFormat="1" applyFont="1" applyFill="1" applyBorder="1" applyAlignment="1">
      <alignment horizontal="center" vertical="center" shrinkToFit="1"/>
    </xf>
    <xf numFmtId="0" fontId="26" fillId="0" borderId="12" xfId="0" applyFont="1" applyBorder="1" applyAlignment="1">
      <alignment horizontal="distributed" vertical="center"/>
    </xf>
    <xf numFmtId="41" fontId="25" fillId="11" borderId="0" xfId="18" applyFont="1" applyFill="1" applyBorder="1" applyAlignment="1">
      <alignment horizontal="right" vertical="center" shrinkToFit="1"/>
    </xf>
    <xf numFmtId="41" fontId="25" fillId="10" borderId="0" xfId="18" applyFont="1" applyFill="1" applyBorder="1" applyAlignment="1">
      <alignment horizontal="right" vertical="center" shrinkToFit="1"/>
    </xf>
    <xf numFmtId="41" fontId="25" fillId="17" borderId="0" xfId="18" applyFont="1" applyFill="1" applyBorder="1" applyAlignment="1">
      <alignment horizontal="right" vertical="center" shrinkToFit="1"/>
    </xf>
    <xf numFmtId="41" fontId="25" fillId="18" borderId="0" xfId="18" applyFont="1" applyFill="1" applyBorder="1" applyAlignment="1">
      <alignment horizontal="right" vertical="center" shrinkToFit="1"/>
    </xf>
    <xf numFmtId="41" fontId="25" fillId="13" borderId="0" xfId="18" applyFont="1" applyFill="1" applyBorder="1" applyAlignment="1">
      <alignment horizontal="right" vertical="center" shrinkToFit="1"/>
    </xf>
    <xf numFmtId="41" fontId="33" fillId="0" borderId="0" xfId="0" applyNumberFormat="1" applyFont="1" applyBorder="1" applyAlignment="1">
      <alignment vertical="center"/>
    </xf>
    <xf numFmtId="0" fontId="26" fillId="0" borderId="91" xfId="0" applyFont="1" applyBorder="1" applyAlignment="1">
      <alignment horizontal="distributed" vertical="center"/>
    </xf>
    <xf numFmtId="41" fontId="29" fillId="0" borderId="0" xfId="18" applyFont="1" applyFill="1" applyBorder="1" applyAlignment="1">
      <alignment horizontal="right" vertical="center" shrinkToFit="1"/>
    </xf>
    <xf numFmtId="38" fontId="29" fillId="0" borderId="0" xfId="0" applyNumberFormat="1" applyFont="1" applyBorder="1" applyAlignment="1">
      <alignment vertical="center" shrinkToFit="1"/>
    </xf>
    <xf numFmtId="38" fontId="29" fillId="0" borderId="0" xfId="0" applyNumberFormat="1" applyFont="1" applyFill="1" applyBorder="1" applyAlignment="1">
      <alignment vertical="center" shrinkToFit="1"/>
    </xf>
    <xf numFmtId="0" fontId="33" fillId="0" borderId="0" xfId="0" applyFont="1" applyBorder="1" applyAlignment="1">
      <alignment vertical="center"/>
    </xf>
    <xf numFmtId="38" fontId="29" fillId="0" borderId="0" xfId="0" applyNumberFormat="1" applyFont="1" applyAlignment="1">
      <alignment vertical="center" shrinkToFit="1"/>
    </xf>
    <xf numFmtId="38" fontId="29" fillId="0" borderId="0" xfId="0" applyNumberFormat="1" applyFont="1" applyFill="1" applyAlignment="1">
      <alignment vertical="center" shrinkToFit="1"/>
    </xf>
    <xf numFmtId="38" fontId="33" fillId="0" borderId="0" xfId="0" applyNumberFormat="1" applyFont="1" applyBorder="1" applyAlignment="1">
      <alignment vertical="center"/>
    </xf>
    <xf numFmtId="41" fontId="33" fillId="0" borderId="0" xfId="0" applyNumberFormat="1" applyFont="1" applyAlignment="1">
      <alignment vertical="center"/>
    </xf>
    <xf numFmtId="0" fontId="26" fillId="0" borderId="6" xfId="0" applyFont="1" applyBorder="1" applyAlignment="1">
      <alignment horizontal="distributed" vertical="center" wrapText="1" shrinkToFit="1"/>
    </xf>
    <xf numFmtId="0" fontId="31" fillId="0" borderId="6" xfId="0" applyFont="1" applyBorder="1" applyAlignment="1">
      <alignment horizontal="distributed" vertical="center" shrinkToFit="1"/>
    </xf>
    <xf numFmtId="38" fontId="29" fillId="15" borderId="0" xfId="0" applyNumberFormat="1" applyFont="1" applyFill="1" applyAlignment="1">
      <alignment vertical="center" shrinkToFit="1"/>
    </xf>
    <xf numFmtId="0" fontId="26" fillId="0" borderId="6" xfId="0" applyFont="1" applyBorder="1" applyAlignment="1">
      <alignment horizontal="distributed" vertical="center" shrinkToFit="1"/>
    </xf>
    <xf numFmtId="0" fontId="26" fillId="0" borderId="3" xfId="0" applyFont="1" applyBorder="1" applyAlignment="1">
      <alignment horizontal="distributed" vertical="center" shrinkToFit="1"/>
    </xf>
    <xf numFmtId="0" fontId="30" fillId="0" borderId="3" xfId="0" applyFont="1" applyBorder="1" applyAlignment="1">
      <alignment horizontal="distributed" vertical="center" shrinkToFit="1"/>
    </xf>
    <xf numFmtId="41" fontId="29" fillId="0" borderId="0" xfId="18" applyFont="1" applyFill="1" applyAlignment="1">
      <alignment horizontal="right" vertical="center" shrinkToFit="1"/>
    </xf>
    <xf numFmtId="41" fontId="29" fillId="0" borderId="0" xfId="18" applyFont="1" applyFill="1" applyAlignment="1">
      <alignment vertical="center" shrinkToFit="1"/>
    </xf>
    <xf numFmtId="0" fontId="26" fillId="0" borderId="4" xfId="0" applyFont="1" applyBorder="1" applyAlignment="1">
      <alignment horizontal="distributed" vertical="center" shrinkToFit="1"/>
    </xf>
    <xf numFmtId="0" fontId="30" fillId="0" borderId="6" xfId="0" applyFont="1" applyBorder="1" applyAlignment="1">
      <alignment horizontal="distributed" vertical="center" shrinkToFit="1"/>
    </xf>
    <xf numFmtId="0" fontId="26" fillId="0" borderId="5" xfId="0" applyFont="1" applyBorder="1" applyAlignment="1">
      <alignment horizontal="distributed" vertical="center" shrinkToFit="1"/>
    </xf>
    <xf numFmtId="38" fontId="29" fillId="17" borderId="0" xfId="0" applyNumberFormat="1" applyFont="1" applyFill="1" applyBorder="1" applyAlignment="1">
      <alignment vertical="center" shrinkToFit="1"/>
    </xf>
    <xf numFmtId="0" fontId="26" fillId="0" borderId="91" xfId="0" applyFont="1" applyFill="1" applyBorder="1" applyAlignment="1">
      <alignment horizontal="distributed" vertical="center"/>
    </xf>
    <xf numFmtId="0" fontId="26" fillId="0" borderId="4" xfId="0" applyFont="1" applyFill="1" applyBorder="1" applyAlignment="1">
      <alignment horizontal="distributed" vertical="center"/>
    </xf>
    <xf numFmtId="179" fontId="29" fillId="0" borderId="6" xfId="0" applyNumberFormat="1" applyFont="1" applyFill="1" applyBorder="1" applyAlignment="1">
      <alignment vertical="center"/>
    </xf>
    <xf numFmtId="41" fontId="29" fillId="21" borderId="0" xfId="18" applyFont="1" applyFill="1" applyBorder="1" applyAlignment="1">
      <alignment horizontal="right" vertical="center" shrinkToFit="1"/>
    </xf>
    <xf numFmtId="0" fontId="26" fillId="0" borderId="20" xfId="0" applyFont="1" applyBorder="1" applyAlignment="1">
      <alignment horizontal="distributed" vertical="center"/>
    </xf>
    <xf numFmtId="0" fontId="30" fillId="0" borderId="13" xfId="0" applyFont="1" applyBorder="1" applyAlignment="1">
      <alignment horizontal="distributed" vertical="center"/>
    </xf>
    <xf numFmtId="176" fontId="30" fillId="0" borderId="6" xfId="0" applyNumberFormat="1" applyFont="1" applyBorder="1" applyAlignment="1">
      <alignment horizontal="right" vertical="center" shrinkToFit="1"/>
    </xf>
    <xf numFmtId="0" fontId="30" fillId="0" borderId="12" xfId="0" applyFont="1" applyBorder="1" applyAlignment="1">
      <alignment horizontal="distributed" vertical="center"/>
    </xf>
    <xf numFmtId="0" fontId="26" fillId="0" borderId="71" xfId="0" applyFont="1" applyBorder="1" applyAlignment="1">
      <alignment horizontal="distributed" vertical="center"/>
    </xf>
    <xf numFmtId="0" fontId="26" fillId="0" borderId="93" xfId="0" applyFont="1" applyBorder="1" applyAlignment="1">
      <alignment horizontal="distributed" vertical="center"/>
    </xf>
    <xf numFmtId="0" fontId="31" fillId="0" borderId="82" xfId="0" applyFont="1" applyBorder="1" applyAlignment="1">
      <alignment horizontal="distributed" vertical="center"/>
    </xf>
    <xf numFmtId="176" fontId="30" fillId="0" borderId="82" xfId="0" applyNumberFormat="1" applyFont="1" applyBorder="1" applyAlignment="1">
      <alignment horizontal="right" vertical="center" shrinkToFit="1"/>
    </xf>
    <xf numFmtId="0" fontId="26" fillId="0" borderId="15" xfId="0" applyFont="1" applyBorder="1" applyAlignment="1">
      <alignment horizontal="distributed" vertical="center"/>
    </xf>
    <xf numFmtId="0" fontId="31" fillId="0" borderId="5" xfId="0" applyFont="1" applyBorder="1" applyAlignment="1">
      <alignment horizontal="distributed" vertical="center"/>
    </xf>
    <xf numFmtId="176" fontId="29" fillId="0" borderId="5" xfId="0" applyNumberFormat="1" applyFont="1" applyBorder="1" applyAlignment="1">
      <alignment vertical="center"/>
    </xf>
    <xf numFmtId="178" fontId="30" fillId="0" borderId="5" xfId="0" applyNumberFormat="1" applyFont="1" applyBorder="1" applyAlignment="1">
      <alignment horizontal="right" vertical="center"/>
    </xf>
    <xf numFmtId="179" fontId="29" fillId="0" borderId="5" xfId="0" applyNumberFormat="1" applyFont="1" applyBorder="1" applyAlignment="1">
      <alignment horizontal="right" vertical="center"/>
    </xf>
    <xf numFmtId="0" fontId="30" fillId="0" borderId="91" xfId="0" applyFont="1" applyBorder="1" applyAlignment="1">
      <alignment horizontal="distributed" vertical="center"/>
    </xf>
    <xf numFmtId="41" fontId="29" fillId="11" borderId="0" xfId="18" applyFont="1" applyFill="1" applyBorder="1" applyAlignment="1">
      <alignment horizontal="right" vertical="center" shrinkToFit="1"/>
    </xf>
    <xf numFmtId="41" fontId="29" fillId="18" borderId="0" xfId="18" applyFont="1" applyFill="1" applyBorder="1" applyAlignment="1">
      <alignment horizontal="right" vertical="center" shrinkToFit="1"/>
    </xf>
    <xf numFmtId="0" fontId="29" fillId="0" borderId="0" xfId="0" applyFont="1" applyAlignment="1">
      <alignment vertical="center" shrinkToFit="1"/>
    </xf>
    <xf numFmtId="41" fontId="29" fillId="17" borderId="0" xfId="18" applyFont="1" applyFill="1" applyBorder="1" applyAlignment="1">
      <alignment horizontal="right" vertical="center" shrinkToFit="1"/>
    </xf>
    <xf numFmtId="0" fontId="32" fillId="0" borderId="6" xfId="0" applyFont="1" applyBorder="1" applyAlignment="1">
      <alignment horizontal="distributed" vertical="center"/>
    </xf>
    <xf numFmtId="0" fontId="26" fillId="0" borderId="82" xfId="0" applyFont="1" applyBorder="1" applyAlignment="1">
      <alignment horizontal="distributed" vertical="center" wrapText="1"/>
    </xf>
    <xf numFmtId="178" fontId="30" fillId="0" borderId="82" xfId="0" applyNumberFormat="1" applyFont="1" applyBorder="1" applyAlignment="1">
      <alignment horizontal="right" vertical="center"/>
    </xf>
    <xf numFmtId="0" fontId="30" fillId="0" borderId="93" xfId="0" applyFont="1" applyBorder="1" applyAlignment="1">
      <alignment horizontal="distributed" vertical="center"/>
    </xf>
    <xf numFmtId="179" fontId="26" fillId="0" borderId="93" xfId="0" applyNumberFormat="1" applyFont="1" applyBorder="1" applyAlignment="1">
      <alignment vertical="center"/>
    </xf>
    <xf numFmtId="176" fontId="30" fillId="0" borderId="93" xfId="0" applyNumberFormat="1" applyFont="1" applyBorder="1" applyAlignment="1">
      <alignment vertical="center"/>
    </xf>
    <xf numFmtId="178" fontId="30" fillId="0" borderId="93" xfId="0" applyNumberFormat="1" applyFont="1" applyBorder="1" applyAlignment="1">
      <alignment horizontal="right" vertical="center"/>
    </xf>
    <xf numFmtId="0" fontId="26" fillId="0" borderId="93" xfId="0" applyFont="1" applyBorder="1" applyAlignment="1">
      <alignment horizontal="distributed" vertical="center" wrapText="1"/>
    </xf>
    <xf numFmtId="0" fontId="32" fillId="0" borderId="93" xfId="0" applyFont="1" applyBorder="1" applyAlignment="1">
      <alignment horizontal="distributed" vertical="center" wrapText="1"/>
    </xf>
    <xf numFmtId="0" fontId="30" fillId="0" borderId="22" xfId="0" applyFont="1" applyBorder="1" applyAlignment="1">
      <alignment vertical="center"/>
    </xf>
    <xf numFmtId="0" fontId="30" fillId="0" borderId="139" xfId="0" applyFont="1" applyBorder="1" applyAlignment="1">
      <alignment vertical="center"/>
    </xf>
    <xf numFmtId="0" fontId="26" fillId="0" borderId="5" xfId="0" applyFont="1" applyBorder="1" applyAlignment="1">
      <alignment horizontal="distributed" vertical="center" wrapText="1"/>
    </xf>
    <xf numFmtId="0" fontId="30" fillId="0" borderId="5" xfId="0" applyFont="1" applyBorder="1" applyAlignment="1">
      <alignment horizontal="distributed" vertical="center" wrapText="1"/>
    </xf>
    <xf numFmtId="179" fontId="26" fillId="0" borderId="5" xfId="0" applyNumberFormat="1" applyFont="1" applyBorder="1" applyAlignment="1">
      <alignment vertical="center"/>
    </xf>
    <xf numFmtId="176" fontId="30" fillId="0" borderId="5" xfId="0" applyNumberFormat="1" applyFont="1" applyBorder="1" applyAlignment="1">
      <alignment vertical="center"/>
    </xf>
    <xf numFmtId="0" fontId="32" fillId="0" borderId="6" xfId="0" applyFont="1" applyBorder="1" applyAlignment="1">
      <alignment horizontal="distributed" vertical="center" wrapText="1"/>
    </xf>
    <xf numFmtId="179" fontId="26" fillId="0" borderId="6" xfId="0" applyNumberFormat="1" applyFont="1" applyBorder="1" applyAlignment="1">
      <alignment vertical="center"/>
    </xf>
    <xf numFmtId="0" fontId="30" fillId="0" borderId="6" xfId="0" applyFont="1" applyBorder="1" applyAlignment="1">
      <alignment horizontal="distributed" vertical="center" wrapText="1"/>
    </xf>
    <xf numFmtId="179" fontId="26" fillId="0" borderId="3" xfId="0" applyNumberFormat="1" applyFont="1" applyBorder="1" applyAlignment="1">
      <alignment vertical="center"/>
    </xf>
    <xf numFmtId="0" fontId="30" fillId="0" borderId="82" xfId="0" applyFont="1" applyBorder="1" applyAlignment="1">
      <alignment horizontal="distributed" vertical="center" wrapText="1"/>
    </xf>
    <xf numFmtId="179" fontId="26" fillId="0" borderId="82" xfId="0" applyNumberFormat="1" applyFont="1" applyBorder="1" applyAlignment="1">
      <alignment vertical="center"/>
    </xf>
    <xf numFmtId="176" fontId="30" fillId="0" borderId="82" xfId="0" applyNumberFormat="1" applyFont="1" applyBorder="1" applyAlignment="1">
      <alignment vertical="center"/>
    </xf>
    <xf numFmtId="0" fontId="29" fillId="0" borderId="0" xfId="0" applyFont="1" applyFill="1" applyAlignment="1">
      <alignment vertical="center" shrinkToFit="1"/>
    </xf>
    <xf numFmtId="41" fontId="29" fillId="0" borderId="0" xfId="18" applyFont="1" applyAlignment="1">
      <alignment horizontal="right" vertical="center" shrinkToFit="1"/>
    </xf>
    <xf numFmtId="176" fontId="25" fillId="0" borderId="0" xfId="0" applyNumberFormat="1" applyFont="1" applyAlignment="1">
      <alignment vertical="center"/>
    </xf>
    <xf numFmtId="38" fontId="22" fillId="0" borderId="0" xfId="0" applyNumberFormat="1" applyFont="1" applyAlignment="1">
      <alignment vertical="center" shrinkToFit="1"/>
    </xf>
    <xf numFmtId="38" fontId="22" fillId="0" borderId="0" xfId="0" applyNumberFormat="1" applyFont="1" applyBorder="1" applyAlignment="1">
      <alignment vertical="center" shrinkToFit="1"/>
    </xf>
    <xf numFmtId="0" fontId="27" fillId="0" borderId="0" xfId="0" applyFont="1" applyBorder="1" applyAlignment="1">
      <alignment vertical="center"/>
    </xf>
    <xf numFmtId="10" fontId="27" fillId="0" borderId="0" xfId="0" applyNumberFormat="1" applyFont="1" applyBorder="1" applyAlignment="1">
      <alignment vertical="center" shrinkToFit="1"/>
    </xf>
    <xf numFmtId="10" fontId="27" fillId="0" borderId="0" xfId="0" applyNumberFormat="1" applyFont="1" applyBorder="1" applyAlignment="1">
      <alignment vertical="center"/>
    </xf>
    <xf numFmtId="0" fontId="27" fillId="0" borderId="0" xfId="0" applyFont="1" applyBorder="1" applyAlignment="1">
      <alignment horizontal="center" vertical="center"/>
    </xf>
    <xf numFmtId="38" fontId="27" fillId="0" borderId="0" xfId="0" applyNumberFormat="1" applyFont="1" applyBorder="1" applyAlignment="1">
      <alignment horizontal="center" vertical="center" shrinkToFit="1"/>
    </xf>
    <xf numFmtId="178" fontId="25" fillId="0" borderId="6" xfId="0" applyNumberFormat="1" applyFont="1" applyBorder="1" applyAlignment="1">
      <alignment horizontal="right" vertical="center"/>
    </xf>
    <xf numFmtId="38" fontId="27" fillId="0" borderId="0" xfId="0" applyNumberFormat="1" applyFont="1" applyBorder="1" applyAlignment="1">
      <alignment horizontal="center" vertical="center"/>
    </xf>
    <xf numFmtId="0" fontId="26" fillId="12" borderId="13" xfId="0" applyFont="1" applyFill="1" applyBorder="1" applyAlignment="1">
      <alignment horizontal="distributed" vertical="center"/>
    </xf>
    <xf numFmtId="0" fontId="26" fillId="12" borderId="6" xfId="0" applyFont="1" applyFill="1" applyBorder="1" applyAlignment="1">
      <alignment horizontal="distributed" vertical="center"/>
    </xf>
    <xf numFmtId="179" fontId="29" fillId="12" borderId="6" xfId="0" applyNumberFormat="1" applyFont="1" applyFill="1" applyBorder="1" applyAlignment="1">
      <alignment horizontal="right" vertical="center"/>
    </xf>
    <xf numFmtId="178" fontId="29" fillId="12" borderId="6" xfId="0" applyNumberFormat="1" applyFont="1" applyFill="1" applyBorder="1" applyAlignment="1">
      <alignment horizontal="right" vertical="center"/>
    </xf>
    <xf numFmtId="38" fontId="33" fillId="0" borderId="0" xfId="0" applyNumberFormat="1" applyFont="1" applyBorder="1" applyAlignment="1">
      <alignment vertical="center" shrinkToFit="1"/>
    </xf>
    <xf numFmtId="179" fontId="33" fillId="11" borderId="0" xfId="0" applyNumberFormat="1" applyFont="1" applyFill="1" applyBorder="1" applyAlignment="1">
      <alignment vertical="center"/>
    </xf>
    <xf numFmtId="178" fontId="29" fillId="0" borderId="6" xfId="0" applyNumberFormat="1" applyFont="1" applyBorder="1" applyAlignment="1">
      <alignment horizontal="right" vertical="center"/>
    </xf>
    <xf numFmtId="0" fontId="26" fillId="0" borderId="4" xfId="0" applyFont="1" applyBorder="1" applyAlignment="1">
      <alignment horizontal="distributed" vertical="center" wrapText="1"/>
    </xf>
    <xf numFmtId="179" fontId="29" fillId="0" borderId="8" xfId="0" applyNumberFormat="1" applyFont="1" applyBorder="1" applyAlignment="1">
      <alignment vertical="center"/>
    </xf>
    <xf numFmtId="176" fontId="29" fillId="0" borderId="30" xfId="0" applyNumberFormat="1" applyFont="1" applyBorder="1" applyAlignment="1">
      <alignment vertical="center"/>
    </xf>
    <xf numFmtId="0" fontId="26" fillId="0" borderId="0" xfId="0" applyFont="1" applyBorder="1" applyAlignment="1">
      <alignment horizontal="right" vertical="center"/>
    </xf>
    <xf numFmtId="0" fontId="26" fillId="0" borderId="3" xfId="0" applyFont="1" applyBorder="1" applyAlignment="1">
      <alignment horizontal="distributed" vertical="center" wrapText="1"/>
    </xf>
    <xf numFmtId="41" fontId="30" fillId="19" borderId="0" xfId="18" applyFont="1" applyFill="1">
      <alignment vertical="center"/>
    </xf>
    <xf numFmtId="38" fontId="33" fillId="19" borderId="0" xfId="0" applyNumberFormat="1" applyFont="1" applyFill="1" applyBorder="1" applyAlignment="1">
      <alignment vertical="center" shrinkToFit="1"/>
    </xf>
    <xf numFmtId="0" fontId="26" fillId="12" borderId="13" xfId="0" applyFont="1" applyFill="1" applyBorder="1" applyAlignment="1">
      <alignment horizontal="distributed" vertical="center" wrapText="1"/>
    </xf>
    <xf numFmtId="0" fontId="26" fillId="12" borderId="6" xfId="0" applyFont="1" applyFill="1" applyBorder="1" applyAlignment="1">
      <alignment horizontal="distributed" vertical="center" wrapText="1"/>
    </xf>
    <xf numFmtId="179" fontId="29" fillId="12" borderId="6" xfId="0" applyNumberFormat="1" applyFont="1" applyFill="1" applyBorder="1" applyAlignment="1">
      <alignment vertical="center"/>
    </xf>
    <xf numFmtId="187" fontId="29" fillId="0" borderId="6" xfId="0" applyNumberFormat="1" applyFont="1" applyBorder="1" applyAlignment="1">
      <alignment horizontal="right" vertical="center"/>
    </xf>
    <xf numFmtId="0" fontId="26" fillId="12" borderId="20" xfId="0" applyFont="1" applyFill="1" applyBorder="1" applyAlignment="1">
      <alignment horizontal="distributed" vertical="center"/>
    </xf>
    <xf numFmtId="0" fontId="26" fillId="12" borderId="5" xfId="0" applyFont="1" applyFill="1" applyBorder="1" applyAlignment="1">
      <alignment horizontal="distributed" vertical="center" wrapText="1"/>
    </xf>
    <xf numFmtId="179" fontId="29" fillId="12" borderId="5" xfId="0" applyNumberFormat="1" applyFont="1" applyFill="1" applyBorder="1" applyAlignment="1">
      <alignment vertical="center"/>
    </xf>
    <xf numFmtId="176" fontId="29" fillId="12" borderId="5" xfId="0" applyNumberFormat="1" applyFont="1" applyFill="1" applyBorder="1" applyAlignment="1">
      <alignment vertical="center"/>
    </xf>
    <xf numFmtId="178" fontId="29" fillId="0" borderId="82" xfId="0" applyNumberFormat="1" applyFont="1" applyBorder="1" applyAlignment="1">
      <alignment horizontal="right" vertical="center"/>
    </xf>
    <xf numFmtId="178" fontId="29" fillId="0" borderId="5" xfId="0" applyNumberFormat="1" applyFont="1" applyBorder="1" applyAlignment="1">
      <alignment horizontal="right" vertical="center"/>
    </xf>
    <xf numFmtId="38" fontId="30" fillId="0" borderId="0" xfId="0" applyNumberFormat="1" applyFont="1" applyBorder="1" applyAlignment="1">
      <alignment vertical="center" shrinkToFit="1"/>
    </xf>
    <xf numFmtId="0" fontId="26" fillId="0" borderId="6" xfId="0" applyFont="1" applyBorder="1" applyAlignment="1">
      <alignment horizontal="fill" vertical="center"/>
    </xf>
    <xf numFmtId="0" fontId="26" fillId="0" borderId="3" xfId="0" applyFont="1" applyBorder="1" applyAlignment="1">
      <alignment vertical="center"/>
    </xf>
    <xf numFmtId="0" fontId="26" fillId="0" borderId="6" xfId="0" applyFont="1" applyBorder="1" applyAlignment="1">
      <alignment horizontal="fill" vertical="center" wrapText="1"/>
    </xf>
    <xf numFmtId="176" fontId="26" fillId="0" borderId="0" xfId="0" applyNumberFormat="1" applyFont="1" applyBorder="1" applyAlignment="1">
      <alignment vertical="center"/>
    </xf>
    <xf numFmtId="38" fontId="26" fillId="0" borderId="0" xfId="0" applyNumberFormat="1" applyFont="1" applyBorder="1" applyAlignment="1">
      <alignment vertical="center" shrinkToFit="1"/>
    </xf>
    <xf numFmtId="0" fontId="26" fillId="12" borderId="20" xfId="0" applyFont="1" applyFill="1" applyBorder="1" applyAlignment="1">
      <alignment horizontal="distributed" vertical="center" wrapText="1"/>
    </xf>
    <xf numFmtId="0" fontId="26" fillId="0" borderId="30" xfId="0" applyFont="1" applyBorder="1" applyAlignment="1">
      <alignment horizontal="distributed" vertical="center" wrapText="1"/>
    </xf>
    <xf numFmtId="176" fontId="29" fillId="0" borderId="0" xfId="0" applyNumberFormat="1" applyFont="1" applyAlignment="1">
      <alignment vertical="center"/>
    </xf>
    <xf numFmtId="38" fontId="33" fillId="0" borderId="0" xfId="0" applyNumberFormat="1" applyFont="1" applyAlignment="1">
      <alignment vertical="center" shrinkToFit="1"/>
    </xf>
    <xf numFmtId="0" fontId="41" fillId="0" borderId="0" xfId="0" applyFont="1" applyBorder="1" applyAlignment="1">
      <alignment horizontal="center" vertical="center"/>
    </xf>
    <xf numFmtId="0" fontId="41" fillId="0" borderId="0" xfId="0" applyFont="1" applyBorder="1" applyAlignment="1">
      <alignment horizontal="center" vertical="center" shrinkToFit="1"/>
    </xf>
    <xf numFmtId="176" fontId="41" fillId="0" borderId="0" xfId="0" applyNumberFormat="1" applyFont="1" applyBorder="1" applyAlignment="1">
      <alignment horizontal="center" vertical="center"/>
    </xf>
    <xf numFmtId="176" fontId="12" fillId="0" borderId="0" xfId="0" applyNumberFormat="1" applyFont="1" applyBorder="1" applyAlignment="1">
      <alignment horizontal="right" vertical="center"/>
    </xf>
    <xf numFmtId="176" fontId="12" fillId="0" borderId="0" xfId="0" applyNumberFormat="1" applyFont="1" applyBorder="1" applyAlignment="1">
      <alignment vertical="center" shrinkToFit="1"/>
    </xf>
    <xf numFmtId="0" fontId="42" fillId="0" borderId="0" xfId="0" applyNumberFormat="1" applyFont="1" applyBorder="1" applyAlignment="1">
      <alignment horizontal="center" vertical="center"/>
    </xf>
    <xf numFmtId="41" fontId="12" fillId="0" borderId="0" xfId="1" applyFont="1" applyBorder="1" applyAlignment="1">
      <alignment vertical="center"/>
    </xf>
    <xf numFmtId="41" fontId="41" fillId="0" borderId="0" xfId="1" applyFont="1" applyBorder="1" applyAlignment="1">
      <alignment vertical="center"/>
    </xf>
    <xf numFmtId="0" fontId="41" fillId="0" borderId="0" xfId="0" applyFont="1" applyBorder="1" applyAlignment="1">
      <alignment vertical="center"/>
    </xf>
    <xf numFmtId="41" fontId="44" fillId="0" borderId="22" xfId="1" applyFont="1" applyBorder="1" applyAlignment="1">
      <alignment horizontal="center" vertical="center"/>
    </xf>
    <xf numFmtId="41" fontId="44" fillId="0" borderId="22" xfId="1" applyFont="1" applyBorder="1" applyAlignment="1">
      <alignment horizontal="center" vertical="center" shrinkToFit="1"/>
    </xf>
    <xf numFmtId="176" fontId="44" fillId="0" borderId="22" xfId="1" applyNumberFormat="1" applyFont="1" applyBorder="1" applyAlignment="1">
      <alignment horizontal="center" vertical="center"/>
    </xf>
    <xf numFmtId="176" fontId="44" fillId="0" borderId="22" xfId="1" applyNumberFormat="1" applyFont="1" applyBorder="1" applyAlignment="1">
      <alignment horizontal="right" vertical="center"/>
    </xf>
    <xf numFmtId="176" fontId="44" fillId="0" borderId="22" xfId="1" applyNumberFormat="1" applyFont="1" applyBorder="1" applyAlignment="1">
      <alignment horizontal="center" vertical="center" shrinkToFit="1"/>
    </xf>
    <xf numFmtId="0" fontId="45" fillId="0" borderId="22" xfId="1" applyNumberFormat="1" applyFont="1" applyBorder="1" applyAlignment="1">
      <alignment horizontal="center" vertical="center"/>
    </xf>
    <xf numFmtId="41" fontId="44" fillId="0" borderId="22" xfId="1" applyFont="1" applyBorder="1" applyAlignment="1">
      <alignment vertical="center"/>
    </xf>
    <xf numFmtId="0" fontId="41" fillId="0" borderId="22" xfId="0" applyFont="1" applyBorder="1" applyAlignment="1">
      <alignment vertical="center"/>
    </xf>
    <xf numFmtId="0" fontId="42" fillId="0" borderId="12" xfId="0" applyFont="1" applyBorder="1" applyAlignment="1">
      <alignment horizontal="center" vertical="center"/>
    </xf>
    <xf numFmtId="0" fontId="42" fillId="0" borderId="3" xfId="0" applyFont="1" applyBorder="1" applyAlignment="1">
      <alignment horizontal="center" vertical="center" shrinkToFit="1"/>
    </xf>
    <xf numFmtId="0" fontId="42" fillId="0" borderId="7" xfId="0" applyFont="1" applyBorder="1" applyAlignment="1">
      <alignment horizontal="center" vertical="center" wrapText="1"/>
    </xf>
    <xf numFmtId="0" fontId="42" fillId="0" borderId="7" xfId="0" applyFont="1" applyBorder="1" applyAlignment="1">
      <alignment horizontal="center" vertical="center" shrinkToFit="1"/>
    </xf>
    <xf numFmtId="3" fontId="12" fillId="0" borderId="10" xfId="1" applyNumberFormat="1" applyFont="1" applyBorder="1" applyAlignment="1">
      <alignment vertical="center" shrinkToFit="1"/>
    </xf>
    <xf numFmtId="0" fontId="12" fillId="6" borderId="4" xfId="0" applyFont="1" applyFill="1" applyBorder="1" applyAlignment="1">
      <alignment horizontal="center" vertical="center" shrinkToFit="1"/>
    </xf>
    <xf numFmtId="176" fontId="12" fillId="6" borderId="4" xfId="1" applyNumberFormat="1" applyFont="1" applyFill="1" applyBorder="1" applyAlignment="1">
      <alignment vertical="center" shrinkToFit="1"/>
    </xf>
    <xf numFmtId="176" fontId="12" fillId="6" borderId="137" xfId="1" applyNumberFormat="1" applyFont="1" applyFill="1" applyBorder="1" applyAlignment="1">
      <alignment horizontal="right" vertical="center" shrinkToFit="1"/>
    </xf>
    <xf numFmtId="41" fontId="12" fillId="0" borderId="47" xfId="1" applyFont="1" applyFill="1" applyBorder="1" applyAlignment="1">
      <alignment horizontal="center" vertical="center" shrinkToFit="1"/>
    </xf>
    <xf numFmtId="41" fontId="12" fillId="5" borderId="48" xfId="1" applyFont="1" applyFill="1" applyBorder="1" applyAlignment="1">
      <alignment horizontal="center" vertical="center" shrinkToFit="1"/>
    </xf>
    <xf numFmtId="41" fontId="12" fillId="5" borderId="48" xfId="1" applyFont="1" applyFill="1" applyBorder="1" applyAlignment="1">
      <alignment vertical="center" shrinkToFit="1"/>
    </xf>
    <xf numFmtId="41" fontId="12" fillId="5" borderId="48" xfId="1" applyFont="1" applyFill="1" applyBorder="1" applyAlignment="1">
      <alignment horizontal="right" vertical="center" shrinkToFit="1"/>
    </xf>
    <xf numFmtId="176" fontId="12" fillId="5" borderId="48" xfId="1" applyNumberFormat="1" applyFont="1" applyFill="1" applyBorder="1" applyAlignment="1">
      <alignment horizontal="right" vertical="center" shrinkToFit="1"/>
    </xf>
    <xf numFmtId="41" fontId="12" fillId="0" borderId="13" xfId="1" applyFont="1" applyFill="1" applyBorder="1" applyAlignment="1">
      <alignment horizontal="center" vertical="center" shrinkToFit="1"/>
    </xf>
    <xf numFmtId="41" fontId="12" fillId="0" borderId="6" xfId="1" applyFont="1" applyFill="1" applyBorder="1" applyAlignment="1">
      <alignment horizontal="center" vertical="center" shrinkToFit="1"/>
    </xf>
    <xf numFmtId="41" fontId="12" fillId="0" borderId="6" xfId="1" applyFont="1" applyFill="1" applyBorder="1" applyAlignment="1">
      <alignment vertical="center" shrinkToFit="1"/>
    </xf>
    <xf numFmtId="41" fontId="12" fillId="0" borderId="6" xfId="1" applyFont="1" applyBorder="1" applyAlignment="1">
      <alignment horizontal="right" vertical="center" shrinkToFit="1"/>
    </xf>
    <xf numFmtId="41" fontId="12" fillId="0" borderId="6" xfId="1" applyFont="1" applyFill="1" applyBorder="1" applyAlignment="1">
      <alignment horizontal="right" vertical="center" shrinkToFit="1"/>
    </xf>
    <xf numFmtId="0" fontId="12" fillId="0" borderId="9" xfId="0" applyFont="1" applyBorder="1" applyAlignment="1">
      <alignment vertical="center" shrinkToFit="1"/>
    </xf>
    <xf numFmtId="182" fontId="12" fillId="0" borderId="9" xfId="0" applyNumberFormat="1" applyFont="1" applyBorder="1" applyAlignment="1">
      <alignment vertical="center" shrinkToFit="1"/>
    </xf>
    <xf numFmtId="180" fontId="12" fillId="0" borderId="9" xfId="0" applyNumberFormat="1" applyFont="1" applyBorder="1" applyAlignment="1">
      <alignment vertical="center" shrinkToFit="1"/>
    </xf>
    <xf numFmtId="181" fontId="12" fillId="0" borderId="9" xfId="0" applyNumberFormat="1" applyFont="1" applyBorder="1" applyAlignment="1">
      <alignment vertical="center" shrinkToFit="1"/>
    </xf>
    <xf numFmtId="41" fontId="12" fillId="5" borderId="6" xfId="1" applyFont="1" applyFill="1" applyBorder="1" applyAlignment="1">
      <alignment horizontal="center" vertical="center" shrinkToFit="1"/>
    </xf>
    <xf numFmtId="41" fontId="12" fillId="5" borderId="6" xfId="1" applyFont="1" applyFill="1" applyBorder="1" applyAlignment="1">
      <alignment horizontal="right" vertical="center" shrinkToFit="1"/>
    </xf>
    <xf numFmtId="176" fontId="12" fillId="5" borderId="6" xfId="1" applyNumberFormat="1" applyFont="1" applyFill="1" applyBorder="1" applyAlignment="1">
      <alignment horizontal="right" vertical="center" shrinkToFit="1"/>
    </xf>
    <xf numFmtId="41" fontId="40" fillId="0" borderId="6" xfId="1" applyFont="1" applyFill="1" applyBorder="1" applyAlignment="1">
      <alignment horizontal="center" vertical="center" shrinkToFit="1"/>
    </xf>
    <xf numFmtId="41" fontId="46" fillId="5" borderId="6" xfId="1" applyFont="1" applyFill="1" applyBorder="1" applyAlignment="1">
      <alignment horizontal="center" vertical="center" shrinkToFit="1"/>
    </xf>
    <xf numFmtId="0" fontId="12" fillId="5" borderId="9" xfId="0" applyFont="1" applyFill="1" applyBorder="1" applyAlignment="1">
      <alignment vertical="center"/>
    </xf>
    <xf numFmtId="41" fontId="46" fillId="0" borderId="6" xfId="1" applyFont="1" applyFill="1" applyBorder="1" applyAlignment="1">
      <alignment horizontal="center" vertical="center" shrinkToFit="1"/>
    </xf>
    <xf numFmtId="41" fontId="12" fillId="6" borderId="13" xfId="1" applyFont="1" applyFill="1" applyBorder="1" applyAlignment="1">
      <alignment horizontal="center" vertical="center" shrinkToFit="1"/>
    </xf>
    <xf numFmtId="41" fontId="46" fillId="6" borderId="6" xfId="1" applyFont="1" applyFill="1" applyBorder="1" applyAlignment="1">
      <alignment horizontal="center" vertical="center" shrinkToFit="1"/>
    </xf>
    <xf numFmtId="41" fontId="12" fillId="6" borderId="6" xfId="1" applyFont="1" applyFill="1" applyBorder="1" applyAlignment="1">
      <alignment vertical="center" shrinkToFit="1"/>
    </xf>
    <xf numFmtId="41" fontId="12" fillId="6" borderId="6" xfId="1" applyFont="1" applyFill="1" applyBorder="1" applyAlignment="1">
      <alignment horizontal="right" vertical="center" shrinkToFit="1"/>
    </xf>
    <xf numFmtId="0" fontId="12" fillId="6" borderId="9" xfId="0" applyFont="1" applyFill="1" applyBorder="1" applyAlignment="1">
      <alignment vertical="center"/>
    </xf>
    <xf numFmtId="41" fontId="12" fillId="5" borderId="6" xfId="1" applyFont="1" applyFill="1" applyBorder="1" applyAlignment="1">
      <alignment vertical="center" shrinkToFit="1"/>
    </xf>
    <xf numFmtId="0" fontId="12" fillId="5" borderId="9" xfId="0" applyFont="1" applyFill="1" applyBorder="1" applyAlignment="1">
      <alignment vertical="center" shrinkToFit="1"/>
    </xf>
    <xf numFmtId="41" fontId="12" fillId="6" borderId="6" xfId="1" applyFont="1" applyFill="1" applyBorder="1" applyAlignment="1">
      <alignment horizontal="center" vertical="center" shrinkToFit="1"/>
    </xf>
    <xf numFmtId="0" fontId="12" fillId="6" borderId="9" xfId="0" applyFont="1" applyFill="1" applyBorder="1" applyAlignment="1">
      <alignment vertical="center" shrinkToFit="1"/>
    </xf>
    <xf numFmtId="41" fontId="47" fillId="0" borderId="0" xfId="1" applyFont="1" applyBorder="1" applyAlignment="1">
      <alignment vertical="center"/>
    </xf>
    <xf numFmtId="41" fontId="12" fillId="0" borderId="9" xfId="1" applyFont="1" applyFill="1" applyBorder="1" applyAlignment="1">
      <alignment vertical="center"/>
    </xf>
    <xf numFmtId="41" fontId="12" fillId="5" borderId="9" xfId="1" applyFont="1" applyFill="1" applyBorder="1" applyAlignment="1">
      <alignment vertical="center"/>
    </xf>
    <xf numFmtId="0" fontId="41" fillId="0" borderId="0" xfId="0" applyFont="1" applyFill="1" applyBorder="1" applyAlignment="1">
      <alignment vertical="center"/>
    </xf>
    <xf numFmtId="176" fontId="12" fillId="5" borderId="6" xfId="0" applyNumberFormat="1" applyFont="1" applyFill="1" applyBorder="1" applyAlignment="1">
      <alignment vertical="center" shrinkToFit="1"/>
    </xf>
    <xf numFmtId="41" fontId="12" fillId="6" borderId="9" xfId="1" applyFont="1" applyFill="1" applyBorder="1" applyAlignment="1">
      <alignment vertical="center"/>
    </xf>
    <xf numFmtId="0" fontId="42" fillId="6" borderId="9" xfId="0" applyNumberFormat="1" applyFont="1" applyFill="1" applyBorder="1" applyAlignment="1">
      <alignment horizontal="center" vertical="center"/>
    </xf>
    <xf numFmtId="0" fontId="42" fillId="5" borderId="9" xfId="0" applyNumberFormat="1" applyFont="1" applyFill="1" applyBorder="1" applyAlignment="1">
      <alignment horizontal="center" vertical="center"/>
    </xf>
    <xf numFmtId="176" fontId="12" fillId="0" borderId="0" xfId="0" applyNumberFormat="1" applyFont="1" applyFill="1" applyBorder="1" applyAlignment="1">
      <alignment vertical="center" shrinkToFit="1"/>
    </xf>
    <xf numFmtId="0" fontId="42" fillId="0" borderId="0" xfId="0" applyNumberFormat="1" applyFont="1" applyFill="1" applyBorder="1" applyAlignment="1">
      <alignment horizontal="center" vertical="center"/>
    </xf>
    <xf numFmtId="41" fontId="12" fillId="0" borderId="0" xfId="1" applyFont="1" applyFill="1" applyBorder="1" applyAlignment="1">
      <alignment vertical="center"/>
    </xf>
    <xf numFmtId="176" fontId="12" fillId="5" borderId="47" xfId="1" applyNumberFormat="1" applyFont="1" applyFill="1" applyBorder="1" applyAlignment="1">
      <alignment horizontal="right" vertical="center" shrinkToFit="1"/>
    </xf>
    <xf numFmtId="176" fontId="12" fillId="0" borderId="13" xfId="1" applyNumberFormat="1" applyFont="1" applyFill="1" applyBorder="1" applyAlignment="1">
      <alignment horizontal="right" vertical="center" shrinkToFit="1"/>
    </xf>
    <xf numFmtId="176" fontId="12" fillId="5" borderId="13" xfId="1" applyNumberFormat="1" applyFont="1" applyFill="1" applyBorder="1" applyAlignment="1">
      <alignment horizontal="right" vertical="center" shrinkToFit="1"/>
    </xf>
    <xf numFmtId="176" fontId="12" fillId="6" borderId="13" xfId="1" applyNumberFormat="1" applyFont="1" applyFill="1" applyBorder="1" applyAlignment="1">
      <alignment horizontal="right" vertical="center" shrinkToFit="1"/>
    </xf>
    <xf numFmtId="176" fontId="12" fillId="0" borderId="13" xfId="0" applyNumberFormat="1" applyFont="1" applyFill="1" applyBorder="1" applyAlignment="1">
      <alignment vertical="center" shrinkToFit="1"/>
    </xf>
    <xf numFmtId="176" fontId="12" fillId="6" borderId="13" xfId="0" applyNumberFormat="1" applyFont="1" applyFill="1" applyBorder="1" applyAlignment="1">
      <alignment vertical="center" shrinkToFit="1"/>
    </xf>
    <xf numFmtId="187" fontId="12" fillId="0" borderId="33" xfId="1" applyNumberFormat="1" applyFont="1" applyBorder="1" applyAlignment="1">
      <alignment horizontal="right" vertical="center" shrinkToFit="1"/>
    </xf>
    <xf numFmtId="187" fontId="12" fillId="6" borderId="70" xfId="1" applyNumberFormat="1" applyFont="1" applyFill="1" applyBorder="1" applyAlignment="1">
      <alignment horizontal="right" vertical="center" shrinkToFit="1"/>
    </xf>
    <xf numFmtId="187" fontId="12" fillId="5" borderId="70" xfId="1" applyNumberFormat="1" applyFont="1" applyFill="1" applyBorder="1" applyAlignment="1">
      <alignment horizontal="right" vertical="center" shrinkToFit="1"/>
    </xf>
    <xf numFmtId="187" fontId="12" fillId="6" borderId="140" xfId="1" applyNumberFormat="1" applyFont="1" applyFill="1" applyBorder="1" applyAlignment="1">
      <alignment horizontal="right" vertical="center" shrinkToFit="1"/>
    </xf>
    <xf numFmtId="41" fontId="12" fillId="0" borderId="82" xfId="1" applyFont="1" applyFill="1" applyBorder="1" applyAlignment="1">
      <alignment horizontal="right" vertical="center" shrinkToFit="1"/>
    </xf>
    <xf numFmtId="41" fontId="43" fillId="0" borderId="0" xfId="18" applyFont="1" applyAlignment="1">
      <alignment horizontal="center" vertical="center"/>
    </xf>
    <xf numFmtId="179" fontId="43" fillId="0" borderId="0" xfId="0" applyNumberFormat="1" applyFont="1" applyAlignment="1">
      <alignment horizontal="center" vertical="center"/>
    </xf>
    <xf numFmtId="41" fontId="43" fillId="0" borderId="0" xfId="0" applyNumberFormat="1" applyFont="1" applyAlignment="1">
      <alignment horizontal="center" vertical="center"/>
    </xf>
    <xf numFmtId="0" fontId="48" fillId="0" borderId="0" xfId="0" applyFont="1" applyAlignment="1">
      <alignment vertical="center"/>
    </xf>
    <xf numFmtId="0" fontId="49" fillId="0" borderId="0" xfId="0" applyFont="1" applyAlignment="1">
      <alignment horizontal="center" vertical="center"/>
    </xf>
    <xf numFmtId="0" fontId="49" fillId="0" borderId="0" xfId="0" applyFont="1" applyAlignment="1">
      <alignment horizontal="center" vertical="center" shrinkToFit="1"/>
    </xf>
    <xf numFmtId="0" fontId="50" fillId="0" borderId="0" xfId="0" applyFont="1" applyAlignment="1">
      <alignment horizontal="center" vertical="center"/>
    </xf>
    <xf numFmtId="0" fontId="51" fillId="0" borderId="0" xfId="0" applyFont="1" applyAlignment="1">
      <alignment horizontal="center" vertical="center"/>
    </xf>
    <xf numFmtId="184" fontId="52" fillId="0" borderId="153" xfId="0" applyNumberFormat="1" applyFont="1" applyBorder="1" applyAlignment="1">
      <alignment horizontal="right" vertical="center" shrinkToFit="1"/>
    </xf>
    <xf numFmtId="176" fontId="12" fillId="6" borderId="11" xfId="1" applyNumberFormat="1" applyFont="1" applyFill="1" applyBorder="1" applyAlignment="1">
      <alignment horizontal="right" vertical="center" shrinkToFit="1"/>
    </xf>
    <xf numFmtId="185" fontId="45" fillId="6" borderId="70" xfId="0" applyNumberFormat="1" applyFont="1" applyFill="1" applyBorder="1" applyAlignment="1">
      <alignment horizontal="right" vertical="center" shrinkToFit="1"/>
    </xf>
    <xf numFmtId="41" fontId="12" fillId="7" borderId="6" xfId="1" applyFont="1" applyFill="1" applyBorder="1" applyAlignment="1">
      <alignment horizontal="right" vertical="center" shrinkToFit="1"/>
    </xf>
    <xf numFmtId="185" fontId="42" fillId="7" borderId="33" xfId="0" applyNumberFormat="1" applyFont="1" applyFill="1" applyBorder="1" applyAlignment="1">
      <alignment horizontal="right" vertical="center" shrinkToFit="1"/>
    </xf>
    <xf numFmtId="185" fontId="42" fillId="0" borderId="33" xfId="0" applyNumberFormat="1" applyFont="1" applyBorder="1" applyAlignment="1">
      <alignment horizontal="right" vertical="center" shrinkToFit="1"/>
    </xf>
    <xf numFmtId="185" fontId="42" fillId="6" borderId="70" xfId="0" applyNumberFormat="1" applyFont="1" applyFill="1" applyBorder="1" applyAlignment="1">
      <alignment horizontal="right" vertical="center" shrinkToFit="1"/>
    </xf>
    <xf numFmtId="41" fontId="12" fillId="0" borderId="5" xfId="1" applyFont="1" applyFill="1" applyBorder="1" applyAlignment="1">
      <alignment horizontal="right" vertical="center" shrinkToFit="1"/>
    </xf>
    <xf numFmtId="41" fontId="12" fillId="7" borderId="6" xfId="1" applyFont="1" applyFill="1" applyBorder="1" applyAlignment="1">
      <alignment vertical="center" shrinkToFit="1"/>
    </xf>
    <xf numFmtId="184" fontId="52" fillId="0" borderId="10" xfId="0" applyNumberFormat="1" applyFont="1" applyBorder="1" applyAlignment="1">
      <alignment horizontal="right" vertical="center" shrinkToFit="1"/>
    </xf>
    <xf numFmtId="185" fontId="45" fillId="6" borderId="5" xfId="0" applyNumberFormat="1" applyFont="1" applyFill="1" applyBorder="1" applyAlignment="1">
      <alignment horizontal="right" vertical="center" shrinkToFit="1"/>
    </xf>
    <xf numFmtId="185" fontId="42" fillId="7" borderId="6" xfId="0" applyNumberFormat="1" applyFont="1" applyFill="1" applyBorder="1" applyAlignment="1">
      <alignment horizontal="right" vertical="center" shrinkToFit="1"/>
    </xf>
    <xf numFmtId="185" fontId="42" fillId="0" borderId="6" xfId="0" applyNumberFormat="1" applyFont="1" applyBorder="1" applyAlignment="1">
      <alignment horizontal="right" vertical="center" shrinkToFit="1"/>
    </xf>
    <xf numFmtId="185" fontId="42" fillId="6" borderId="5" xfId="0" applyNumberFormat="1" applyFont="1" applyFill="1" applyBorder="1" applyAlignment="1">
      <alignment horizontal="right" vertical="center" shrinkToFit="1"/>
    </xf>
    <xf numFmtId="185" fontId="42" fillId="0" borderId="109" xfId="0" applyNumberFormat="1" applyFont="1" applyBorder="1" applyAlignment="1">
      <alignment horizontal="right" vertical="center" shrinkToFit="1"/>
    </xf>
    <xf numFmtId="185" fontId="42" fillId="0" borderId="149" xfId="0" applyNumberFormat="1" applyFont="1" applyBorder="1" applyAlignment="1">
      <alignment horizontal="right" vertical="center" shrinkToFit="1"/>
    </xf>
    <xf numFmtId="0" fontId="53" fillId="0" borderId="0" xfId="0" applyFont="1" applyAlignment="1">
      <alignment horizontal="left" vertical="center"/>
    </xf>
    <xf numFmtId="0" fontId="54" fillId="0" borderId="0" xfId="0" applyFont="1"/>
    <xf numFmtId="0" fontId="43" fillId="0" borderId="0" xfId="0" applyFont="1" applyAlignment="1">
      <alignment vertical="center"/>
    </xf>
    <xf numFmtId="0" fontId="41" fillId="0" borderId="0" xfId="0" applyFont="1"/>
    <xf numFmtId="0" fontId="41" fillId="0" borderId="0" xfId="0" applyFont="1" applyAlignment="1">
      <alignment vertical="center"/>
    </xf>
    <xf numFmtId="0" fontId="41" fillId="0" borderId="0" xfId="0" applyFont="1" applyAlignment="1">
      <alignment horizontal="center" vertical="center"/>
    </xf>
    <xf numFmtId="0" fontId="41" fillId="0" borderId="0" xfId="0" applyFont="1" applyAlignment="1">
      <alignment horizontal="left" vertical="center"/>
    </xf>
    <xf numFmtId="176" fontId="41" fillId="0" borderId="0" xfId="0" applyNumberFormat="1" applyFont="1" applyAlignment="1">
      <alignment vertical="center"/>
    </xf>
    <xf numFmtId="176" fontId="41" fillId="0" borderId="0" xfId="0" applyNumberFormat="1" applyFont="1"/>
    <xf numFmtId="176" fontId="41" fillId="0" borderId="0" xfId="0" applyNumberFormat="1" applyFont="1" applyAlignment="1">
      <alignment horizontal="distributed" vertical="distributed" shrinkToFit="1"/>
    </xf>
    <xf numFmtId="176" fontId="41" fillId="0" borderId="0" xfId="0" applyNumberFormat="1" applyFont="1" applyAlignment="1">
      <alignment horizontal="right" vertical="center"/>
    </xf>
    <xf numFmtId="176" fontId="41" fillId="0" borderId="0" xfId="0" applyNumberFormat="1" applyFont="1" applyAlignment="1">
      <alignment horizontal="center" vertical="center"/>
    </xf>
    <xf numFmtId="176" fontId="41" fillId="0" borderId="0" xfId="0" applyNumberFormat="1" applyFont="1" applyAlignment="1">
      <alignment horizontal="left" vertical="center"/>
    </xf>
    <xf numFmtId="176" fontId="41" fillId="0" borderId="0" xfId="0" quotePrefix="1" applyNumberFormat="1" applyFont="1" applyAlignment="1">
      <alignment horizontal="right" vertical="center"/>
    </xf>
    <xf numFmtId="41" fontId="41" fillId="0" borderId="0" xfId="1" applyFont="1" applyAlignment="1">
      <alignment horizontal="center" vertical="center"/>
    </xf>
    <xf numFmtId="3" fontId="55" fillId="0" borderId="0" xfId="11" applyNumberFormat="1" applyFont="1" applyBorder="1" applyAlignment="1">
      <alignment horizontal="center" vertical="center" shrinkToFit="1"/>
    </xf>
    <xf numFmtId="176" fontId="43" fillId="0" borderId="0" xfId="0" quotePrefix="1" applyNumberFormat="1" applyFont="1" applyAlignment="1">
      <alignment vertical="center"/>
    </xf>
    <xf numFmtId="176" fontId="41" fillId="0" borderId="0" xfId="0" quotePrefix="1" applyNumberFormat="1" applyFont="1" applyAlignment="1">
      <alignment vertical="center"/>
    </xf>
    <xf numFmtId="0" fontId="12" fillId="0" borderId="0" xfId="0" applyFont="1" applyFill="1" applyBorder="1" applyAlignment="1">
      <alignment vertical="center"/>
    </xf>
    <xf numFmtId="0" fontId="55" fillId="0" borderId="0" xfId="0" applyFont="1" applyBorder="1" applyAlignment="1">
      <alignment vertical="center"/>
    </xf>
    <xf numFmtId="0" fontId="56" fillId="0" borderId="0" xfId="0" applyFont="1" applyBorder="1" applyAlignment="1">
      <alignment vertical="center"/>
    </xf>
    <xf numFmtId="41" fontId="57" fillId="0" borderId="22" xfId="1" applyFont="1" applyBorder="1" applyAlignment="1">
      <alignment vertical="center"/>
    </xf>
    <xf numFmtId="0" fontId="12" fillId="0" borderId="1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 shrinkToFit="1"/>
    </xf>
    <xf numFmtId="176" fontId="52" fillId="0" borderId="10" xfId="0" applyNumberFormat="1" applyFont="1" applyBorder="1" applyAlignment="1">
      <alignment horizontal="center" vertical="center" shrinkToFit="1"/>
    </xf>
    <xf numFmtId="176" fontId="52" fillId="0" borderId="10" xfId="0" applyNumberFormat="1" applyFont="1" applyBorder="1" applyAlignment="1">
      <alignment horizontal="right" vertical="center" shrinkToFit="1"/>
    </xf>
    <xf numFmtId="176" fontId="55" fillId="0" borderId="0" xfId="0" applyNumberFormat="1" applyFont="1" applyBorder="1" applyAlignment="1">
      <alignment vertical="center"/>
    </xf>
    <xf numFmtId="176" fontId="56" fillId="0" borderId="0" xfId="0" applyNumberFormat="1" applyFont="1" applyBorder="1" applyAlignment="1">
      <alignment vertical="center"/>
    </xf>
    <xf numFmtId="0" fontId="12" fillId="6" borderId="18" xfId="0" applyFont="1" applyFill="1" applyBorder="1" applyAlignment="1">
      <alignment horizontal="center" vertical="center" shrinkToFit="1"/>
    </xf>
    <xf numFmtId="176" fontId="12" fillId="6" borderId="11" xfId="0" applyNumberFormat="1" applyFont="1" applyFill="1" applyBorder="1" applyAlignment="1">
      <alignment horizontal="right" vertical="center" shrinkToFit="1"/>
    </xf>
    <xf numFmtId="176" fontId="12" fillId="6" borderId="150" xfId="0" applyNumberFormat="1" applyFont="1" applyFill="1" applyBorder="1" applyAlignment="1">
      <alignment horizontal="right" vertical="center" shrinkToFit="1"/>
    </xf>
    <xf numFmtId="0" fontId="12" fillId="6" borderId="101" xfId="0" applyFont="1" applyFill="1" applyBorder="1" applyAlignment="1">
      <alignment horizontal="center" vertical="center" shrinkToFit="1"/>
    </xf>
    <xf numFmtId="0" fontId="12" fillId="6" borderId="5" xfId="0" applyFont="1" applyFill="1" applyBorder="1" applyAlignment="1">
      <alignment horizontal="center" vertical="center" shrinkToFit="1"/>
    </xf>
    <xf numFmtId="176" fontId="12" fillId="6" borderId="5" xfId="1" applyNumberFormat="1" applyFont="1" applyFill="1" applyBorder="1" applyAlignment="1">
      <alignment vertical="center" shrinkToFit="1"/>
    </xf>
    <xf numFmtId="176" fontId="12" fillId="6" borderId="0" xfId="1" applyNumberFormat="1" applyFont="1" applyFill="1" applyBorder="1" applyAlignment="1">
      <alignment vertical="center" shrinkToFit="1"/>
    </xf>
    <xf numFmtId="3" fontId="56" fillId="0" borderId="0" xfId="0" applyNumberFormat="1" applyFont="1" applyBorder="1" applyAlignment="1">
      <alignment vertical="center"/>
    </xf>
    <xf numFmtId="0" fontId="12" fillId="0" borderId="13" xfId="0" applyFont="1" applyBorder="1" applyAlignment="1">
      <alignment horizontal="center" vertical="center" shrinkToFit="1"/>
    </xf>
    <xf numFmtId="0" fontId="12" fillId="7" borderId="6" xfId="0" applyFont="1" applyFill="1" applyBorder="1" applyAlignment="1">
      <alignment horizontal="center" vertical="center" shrinkToFit="1"/>
    </xf>
    <xf numFmtId="176" fontId="12" fillId="7" borderId="6" xfId="0" applyNumberFormat="1" applyFont="1" applyFill="1" applyBorder="1" applyAlignment="1">
      <alignment horizontal="right" vertical="center" shrinkToFit="1"/>
    </xf>
    <xf numFmtId="176" fontId="12" fillId="7" borderId="66" xfId="0" applyNumberFormat="1" applyFont="1" applyFill="1" applyBorder="1" applyAlignment="1">
      <alignment horizontal="right" vertical="center" shrinkToFit="1"/>
    </xf>
    <xf numFmtId="41" fontId="12" fillId="0" borderId="19" xfId="1" applyFont="1" applyFill="1" applyBorder="1" applyAlignment="1">
      <alignment horizontal="center" vertical="center" shrinkToFit="1"/>
    </xf>
    <xf numFmtId="41" fontId="12" fillId="7" borderId="6" xfId="1" applyFont="1" applyFill="1" applyBorder="1" applyAlignment="1">
      <alignment horizontal="center" vertical="center" shrinkToFit="1"/>
    </xf>
    <xf numFmtId="3" fontId="55" fillId="0" borderId="0" xfId="0" applyNumberFormat="1" applyFont="1" applyBorder="1" applyAlignment="1">
      <alignment vertical="center"/>
    </xf>
    <xf numFmtId="0" fontId="12" fillId="0" borderId="6" xfId="0" applyFont="1" applyBorder="1" applyAlignment="1">
      <alignment horizontal="center" vertical="center" shrinkToFit="1"/>
    </xf>
    <xf numFmtId="176" fontId="12" fillId="0" borderId="6" xfId="0" applyNumberFormat="1" applyFont="1" applyBorder="1" applyAlignment="1">
      <alignment horizontal="right" vertical="center" shrinkToFit="1"/>
    </xf>
    <xf numFmtId="176" fontId="12" fillId="0" borderId="66" xfId="0" applyNumberFormat="1" applyFont="1" applyBorder="1" applyAlignment="1">
      <alignment horizontal="right" vertical="center" shrinkToFit="1"/>
    </xf>
    <xf numFmtId="0" fontId="12" fillId="6" borderId="13" xfId="0" applyFont="1" applyFill="1" applyBorder="1" applyAlignment="1">
      <alignment horizontal="center" vertical="center" shrinkToFit="1"/>
    </xf>
    <xf numFmtId="176" fontId="12" fillId="6" borderId="6" xfId="0" applyNumberFormat="1" applyFont="1" applyFill="1" applyBorder="1" applyAlignment="1">
      <alignment horizontal="right" vertical="center" shrinkToFit="1"/>
    </xf>
    <xf numFmtId="176" fontId="12" fillId="6" borderId="66" xfId="0" applyNumberFormat="1" applyFont="1" applyFill="1" applyBorder="1" applyAlignment="1">
      <alignment horizontal="right" vertical="center" shrinkToFit="1"/>
    </xf>
    <xf numFmtId="176" fontId="12" fillId="6" borderId="66" xfId="0" applyNumberFormat="1" applyFont="1" applyFill="1" applyBorder="1" applyAlignment="1">
      <alignment vertical="center" shrinkToFit="1"/>
    </xf>
    <xf numFmtId="176" fontId="12" fillId="7" borderId="6" xfId="0" applyNumberFormat="1" applyFont="1" applyFill="1" applyBorder="1" applyAlignment="1">
      <alignment vertical="center" shrinkToFit="1"/>
    </xf>
    <xf numFmtId="176" fontId="12" fillId="7" borderId="66" xfId="0" applyNumberFormat="1" applyFont="1" applyFill="1" applyBorder="1" applyAlignment="1">
      <alignment vertical="center" shrinkToFit="1"/>
    </xf>
    <xf numFmtId="41" fontId="46" fillId="7" borderId="6" xfId="1" applyFont="1" applyFill="1" applyBorder="1" applyAlignment="1">
      <alignment horizontal="center" vertical="center" shrinkToFit="1"/>
    </xf>
    <xf numFmtId="176" fontId="12" fillId="0" borderId="6" xfId="0" applyNumberFormat="1" applyFont="1" applyBorder="1" applyAlignment="1">
      <alignment vertical="center" shrinkToFit="1"/>
    </xf>
    <xf numFmtId="176" fontId="12" fillId="0" borderId="13" xfId="0" applyNumberFormat="1" applyFont="1" applyBorder="1" applyAlignment="1">
      <alignment horizontal="center" vertical="center" shrinkToFit="1"/>
    </xf>
    <xf numFmtId="176" fontId="12" fillId="0" borderId="13" xfId="0" applyNumberFormat="1" applyFont="1" applyBorder="1" applyAlignment="1">
      <alignment vertical="center" shrinkToFit="1"/>
    </xf>
    <xf numFmtId="176" fontId="12" fillId="0" borderId="66" xfId="0" applyNumberFormat="1" applyFont="1" applyBorder="1" applyAlignment="1">
      <alignment vertical="center" shrinkToFit="1"/>
    </xf>
    <xf numFmtId="41" fontId="12" fillId="6" borderId="19" xfId="1" applyFont="1" applyFill="1" applyBorder="1" applyAlignment="1">
      <alignment horizontal="center" vertical="center" shrinkToFit="1"/>
    </xf>
    <xf numFmtId="41" fontId="12" fillId="0" borderId="19" xfId="1" applyFont="1" applyFill="1" applyBorder="1" applyAlignment="1">
      <alignment horizontal="center" vertical="center"/>
    </xf>
    <xf numFmtId="41" fontId="12" fillId="0" borderId="6" xfId="1" applyFont="1" applyFill="1" applyBorder="1" applyAlignment="1">
      <alignment horizontal="center" vertical="center"/>
    </xf>
    <xf numFmtId="41" fontId="12" fillId="0" borderId="6" xfId="1" applyFont="1" applyFill="1" applyBorder="1" applyAlignment="1">
      <alignment vertical="center"/>
    </xf>
    <xf numFmtId="41" fontId="12" fillId="7" borderId="6" xfId="1" applyFont="1" applyFill="1" applyBorder="1" applyAlignment="1">
      <alignment horizontal="center" vertical="center"/>
    </xf>
    <xf numFmtId="41" fontId="12" fillId="7" borderId="6" xfId="1" applyFont="1" applyFill="1" applyBorder="1" applyAlignment="1">
      <alignment vertical="center"/>
    </xf>
    <xf numFmtId="41" fontId="12" fillId="6" borderId="19" xfId="1" applyFont="1" applyFill="1" applyBorder="1" applyAlignment="1">
      <alignment horizontal="center" vertical="center"/>
    </xf>
    <xf numFmtId="41" fontId="12" fillId="6" borderId="6" xfId="1" applyFont="1" applyFill="1" applyBorder="1" applyAlignment="1">
      <alignment horizontal="center" vertical="center"/>
    </xf>
    <xf numFmtId="41" fontId="12" fillId="6" borderId="6" xfId="1" applyFont="1" applyFill="1" applyBorder="1" applyAlignment="1">
      <alignment vertical="center"/>
    </xf>
    <xf numFmtId="0" fontId="12" fillId="0" borderId="6" xfId="0" applyFont="1" applyBorder="1" applyAlignment="1">
      <alignment vertical="center" shrinkToFit="1"/>
    </xf>
    <xf numFmtId="0" fontId="12" fillId="0" borderId="71" xfId="0" applyFont="1" applyBorder="1" applyAlignment="1">
      <alignment horizontal="center" vertical="center" shrinkToFit="1"/>
    </xf>
    <xf numFmtId="0" fontId="12" fillId="0" borderId="93" xfId="0" applyFont="1" applyBorder="1" applyAlignment="1">
      <alignment horizontal="center" vertical="center" shrinkToFit="1"/>
    </xf>
    <xf numFmtId="0" fontId="12" fillId="0" borderId="93" xfId="0" applyFont="1" applyBorder="1" applyAlignment="1">
      <alignment vertical="center" shrinkToFit="1"/>
    </xf>
    <xf numFmtId="41" fontId="12" fillId="0" borderId="34" xfId="1" applyFont="1" applyFill="1" applyBorder="1" applyAlignment="1">
      <alignment horizontal="center" vertical="center"/>
    </xf>
    <xf numFmtId="41" fontId="12" fillId="0" borderId="82" xfId="1" applyFont="1" applyFill="1" applyBorder="1" applyAlignment="1">
      <alignment horizontal="center" vertical="center"/>
    </xf>
    <xf numFmtId="41" fontId="12" fillId="0" borderId="82" xfId="1" applyFont="1" applyFill="1" applyBorder="1" applyAlignment="1">
      <alignment horizontal="center" vertical="center" shrinkToFit="1"/>
    </xf>
    <xf numFmtId="41" fontId="12" fillId="0" borderId="82" xfId="1" applyFont="1" applyFill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41" fontId="12" fillId="0" borderId="0" xfId="1" applyFont="1" applyFill="1" applyBorder="1" applyAlignment="1">
      <alignment horizontal="center" vertical="center"/>
    </xf>
    <xf numFmtId="41" fontId="12" fillId="0" borderId="0" xfId="1" applyFont="1" applyFill="1" applyBorder="1" applyAlignment="1">
      <alignment horizontal="center" vertical="center" shrinkToFit="1"/>
    </xf>
    <xf numFmtId="41" fontId="41" fillId="0" borderId="0" xfId="1" applyFont="1" applyFill="1" applyBorder="1" applyAlignment="1">
      <alignment horizontal="center" vertical="center"/>
    </xf>
    <xf numFmtId="41" fontId="41" fillId="0" borderId="0" xfId="1" applyFont="1" applyFill="1" applyBorder="1" applyAlignment="1">
      <alignment horizontal="center" vertical="center" shrinkToFit="1"/>
    </xf>
    <xf numFmtId="0" fontId="41" fillId="0" borderId="0" xfId="0" applyFont="1" applyFill="1" applyBorder="1" applyAlignment="1">
      <alignment horizontal="center" vertical="center"/>
    </xf>
    <xf numFmtId="0" fontId="41" fillId="0" borderId="0" xfId="0" applyFont="1" applyFill="1" applyBorder="1" applyAlignment="1">
      <alignment horizontal="center" vertical="center" shrinkToFit="1"/>
    </xf>
    <xf numFmtId="0" fontId="12" fillId="0" borderId="0" xfId="0" applyFont="1" applyBorder="1" applyAlignment="1">
      <alignment horizontal="right" vertical="center"/>
    </xf>
    <xf numFmtId="41" fontId="43" fillId="0" borderId="0" xfId="1" applyFont="1" applyBorder="1" applyAlignment="1">
      <alignment horizontal="left" vertical="center"/>
    </xf>
    <xf numFmtId="41" fontId="44" fillId="0" borderId="22" xfId="1" applyFont="1" applyBorder="1" applyAlignment="1">
      <alignment horizontal="right" vertical="center"/>
    </xf>
    <xf numFmtId="41" fontId="12" fillId="0" borderId="22" xfId="1" applyFont="1" applyBorder="1" applyAlignment="1">
      <alignment horizontal="right" vertical="center"/>
    </xf>
    <xf numFmtId="41" fontId="44" fillId="0" borderId="0" xfId="1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/>
    </xf>
    <xf numFmtId="41" fontId="12" fillId="0" borderId="37" xfId="1" applyFont="1" applyBorder="1" applyAlignment="1">
      <alignment horizontal="right" vertical="center" shrinkToFit="1"/>
    </xf>
    <xf numFmtId="41" fontId="41" fillId="0" borderId="10" xfId="1" applyFont="1" applyBorder="1" applyAlignment="1">
      <alignment horizontal="right" vertical="center" shrinkToFit="1"/>
    </xf>
    <xf numFmtId="41" fontId="12" fillId="0" borderId="10" xfId="1" applyFont="1" applyBorder="1" applyAlignment="1">
      <alignment horizontal="right" vertical="center" shrinkToFit="1"/>
    </xf>
    <xf numFmtId="4" fontId="12" fillId="0" borderId="10" xfId="1" applyNumberFormat="1" applyFont="1" applyBorder="1" applyAlignment="1">
      <alignment horizontal="right" vertical="center" shrinkToFit="1"/>
    </xf>
    <xf numFmtId="41" fontId="41" fillId="0" borderId="0" xfId="0" applyNumberFormat="1" applyFont="1" applyBorder="1" applyAlignment="1">
      <alignment vertical="center" shrinkToFit="1"/>
    </xf>
    <xf numFmtId="0" fontId="42" fillId="6" borderId="20" xfId="0" applyFont="1" applyFill="1" applyBorder="1" applyAlignment="1">
      <alignment horizontal="center" vertical="center" shrinkToFit="1"/>
    </xf>
    <xf numFmtId="0" fontId="42" fillId="6" borderId="5" xfId="0" applyFont="1" applyFill="1" applyBorder="1" applyAlignment="1">
      <alignment horizontal="center" vertical="center" shrinkToFit="1"/>
    </xf>
    <xf numFmtId="41" fontId="42" fillId="6" borderId="5" xfId="1" applyFont="1" applyFill="1" applyBorder="1" applyAlignment="1">
      <alignment horizontal="right" vertical="center" shrinkToFit="1"/>
    </xf>
    <xf numFmtId="4" fontId="42" fillId="6" borderId="5" xfId="1" applyNumberFormat="1" applyFont="1" applyFill="1" applyBorder="1" applyAlignment="1">
      <alignment horizontal="right" vertical="center" shrinkToFit="1"/>
    </xf>
    <xf numFmtId="177" fontId="42" fillId="0" borderId="0" xfId="0" applyNumberFormat="1" applyFont="1" applyBorder="1" applyAlignment="1">
      <alignment horizontal="right" vertical="center" shrinkToFit="1"/>
    </xf>
    <xf numFmtId="3" fontId="42" fillId="0" borderId="0" xfId="0" applyNumberFormat="1" applyFont="1" applyBorder="1" applyAlignment="1">
      <alignment vertical="center"/>
    </xf>
    <xf numFmtId="0" fontId="42" fillId="0" borderId="0" xfId="0" applyFont="1" applyBorder="1" applyAlignment="1">
      <alignment vertical="center"/>
    </xf>
    <xf numFmtId="0" fontId="42" fillId="0" borderId="13" xfId="0" applyFont="1" applyBorder="1" applyAlignment="1">
      <alignment horizontal="center" vertical="center" shrinkToFit="1"/>
    </xf>
    <xf numFmtId="0" fontId="42" fillId="5" borderId="6" xfId="0" applyFont="1" applyFill="1" applyBorder="1" applyAlignment="1">
      <alignment horizontal="center" vertical="center" shrinkToFit="1"/>
    </xf>
    <xf numFmtId="41" fontId="42" fillId="5" borderId="6" xfId="1" applyFont="1" applyFill="1" applyBorder="1" applyAlignment="1">
      <alignment horizontal="right" vertical="center" shrinkToFit="1"/>
    </xf>
    <xf numFmtId="4" fontId="42" fillId="5" borderId="6" xfId="1" applyNumberFormat="1" applyFont="1" applyFill="1" applyBorder="1" applyAlignment="1">
      <alignment horizontal="right" vertical="center" shrinkToFit="1"/>
    </xf>
    <xf numFmtId="0" fontId="42" fillId="0" borderId="6" xfId="0" applyFont="1" applyBorder="1" applyAlignment="1">
      <alignment horizontal="center" vertical="center" shrinkToFit="1"/>
    </xf>
    <xf numFmtId="41" fontId="42" fillId="0" borderId="6" xfId="1" applyFont="1" applyBorder="1" applyAlignment="1">
      <alignment horizontal="right" vertical="center" shrinkToFit="1"/>
    </xf>
    <xf numFmtId="4" fontId="42" fillId="0" borderId="6" xfId="1" applyNumberFormat="1" applyFont="1" applyBorder="1" applyAlignment="1">
      <alignment horizontal="right" vertical="center" shrinkToFit="1"/>
    </xf>
    <xf numFmtId="177" fontId="42" fillId="0" borderId="0" xfId="1" applyNumberFormat="1" applyFont="1" applyBorder="1" applyAlignment="1">
      <alignment horizontal="right" vertical="center" shrinkToFit="1"/>
    </xf>
    <xf numFmtId="0" fontId="42" fillId="6" borderId="13" xfId="0" applyFont="1" applyFill="1" applyBorder="1" applyAlignment="1">
      <alignment horizontal="center" vertical="center" shrinkToFit="1"/>
    </xf>
    <xf numFmtId="0" fontId="42" fillId="6" borderId="6" xfId="0" applyFont="1" applyFill="1" applyBorder="1" applyAlignment="1">
      <alignment horizontal="center" vertical="center" shrinkToFit="1"/>
    </xf>
    <xf numFmtId="41" fontId="42" fillId="6" borderId="6" xfId="1" applyFont="1" applyFill="1" applyBorder="1" applyAlignment="1">
      <alignment horizontal="right" vertical="center" shrinkToFit="1"/>
    </xf>
    <xf numFmtId="0" fontId="42" fillId="0" borderId="13" xfId="0" applyFont="1" applyFill="1" applyBorder="1" applyAlignment="1">
      <alignment horizontal="center" vertical="center" shrinkToFit="1"/>
    </xf>
    <xf numFmtId="0" fontId="42" fillId="0" borderId="6" xfId="0" applyFont="1" applyFill="1" applyBorder="1" applyAlignment="1">
      <alignment horizontal="center" vertical="center" shrinkToFit="1"/>
    </xf>
    <xf numFmtId="41" fontId="42" fillId="0" borderId="6" xfId="1" applyFont="1" applyFill="1" applyBorder="1" applyAlignment="1">
      <alignment horizontal="right" vertical="center" shrinkToFit="1"/>
    </xf>
    <xf numFmtId="177" fontId="59" fillId="0" borderId="0" xfId="1" applyNumberFormat="1" applyFont="1" applyBorder="1" applyAlignment="1">
      <alignment horizontal="right" vertical="center" shrinkToFit="1"/>
    </xf>
    <xf numFmtId="0" fontId="59" fillId="0" borderId="0" xfId="0" applyFont="1" applyBorder="1" applyAlignment="1">
      <alignment vertical="center"/>
    </xf>
    <xf numFmtId="41" fontId="42" fillId="0" borderId="0" xfId="1" applyFont="1" applyBorder="1" applyAlignment="1">
      <alignment vertical="center"/>
    </xf>
    <xf numFmtId="0" fontId="42" fillId="0" borderId="13" xfId="0" applyFont="1" applyBorder="1" applyAlignment="1">
      <alignment horizontal="center" vertical="center"/>
    </xf>
    <xf numFmtId="0" fontId="42" fillId="0" borderId="6" xfId="0" applyFont="1" applyBorder="1" applyAlignment="1">
      <alignment horizontal="center" vertical="center"/>
    </xf>
    <xf numFmtId="176" fontId="42" fillId="0" borderId="6" xfId="0" applyNumberFormat="1" applyFont="1" applyBorder="1" applyAlignment="1">
      <alignment vertical="center" shrinkToFit="1"/>
    </xf>
    <xf numFmtId="0" fontId="42" fillId="0" borderId="6" xfId="0" applyFont="1" applyBorder="1" applyAlignment="1">
      <alignment horizontal="distributed" vertical="center"/>
    </xf>
    <xf numFmtId="176" fontId="42" fillId="0" borderId="6" xfId="0" applyNumberFormat="1" applyFont="1" applyBorder="1" applyAlignment="1">
      <alignment vertical="center"/>
    </xf>
    <xf numFmtId="0" fontId="42" fillId="0" borderId="8" xfId="0" applyNumberFormat="1" applyFont="1" applyBorder="1" applyAlignment="1">
      <alignment horizontal="left" vertical="center" shrinkToFit="1"/>
    </xf>
    <xf numFmtId="0" fontId="42" fillId="0" borderId="9" xfId="0" applyFont="1" applyBorder="1" applyAlignment="1">
      <alignment horizontal="left" vertical="center" shrinkToFit="1"/>
    </xf>
    <xf numFmtId="0" fontId="42" fillId="0" borderId="14" xfId="0" applyFont="1" applyBorder="1" applyAlignment="1">
      <alignment horizontal="left" vertical="center" shrinkToFit="1"/>
    </xf>
    <xf numFmtId="41" fontId="42" fillId="0" borderId="0" xfId="0" applyNumberFormat="1" applyFont="1" applyBorder="1" applyAlignment="1">
      <alignment vertical="center"/>
    </xf>
    <xf numFmtId="0" fontId="59" fillId="0" borderId="0" xfId="0" applyFont="1" applyBorder="1" applyAlignment="1">
      <alignment vertical="center" shrinkToFit="1"/>
    </xf>
    <xf numFmtId="176" fontId="59" fillId="0" borderId="0" xfId="0" applyNumberFormat="1" applyFont="1" applyBorder="1" applyAlignment="1">
      <alignment vertical="center" shrinkToFit="1"/>
    </xf>
    <xf numFmtId="179" fontId="12" fillId="0" borderId="6" xfId="0" applyNumberFormat="1" applyFont="1" applyBorder="1" applyAlignment="1">
      <alignment vertical="center"/>
    </xf>
    <xf numFmtId="0" fontId="42" fillId="6" borderId="6" xfId="0" applyFont="1" applyFill="1" applyBorder="1" applyAlignment="1">
      <alignment horizontal="center" vertical="center"/>
    </xf>
    <xf numFmtId="0" fontId="42" fillId="0" borderId="13" xfId="0" applyFont="1" applyBorder="1" applyAlignment="1">
      <alignment vertical="center"/>
    </xf>
    <xf numFmtId="0" fontId="42" fillId="0" borderId="6" xfId="0" applyFont="1" applyBorder="1" applyAlignment="1">
      <alignment vertical="center"/>
    </xf>
    <xf numFmtId="176" fontId="42" fillId="0" borderId="6" xfId="0" applyNumberFormat="1" applyFont="1" applyBorder="1" applyAlignment="1">
      <alignment horizontal="right" vertical="center"/>
    </xf>
    <xf numFmtId="4" fontId="42" fillId="6" borderId="6" xfId="1" applyNumberFormat="1" applyFont="1" applyFill="1" applyBorder="1" applyAlignment="1">
      <alignment horizontal="right" vertical="center" shrinkToFit="1"/>
    </xf>
    <xf numFmtId="3" fontId="42" fillId="6" borderId="8" xfId="1" applyNumberFormat="1" applyFont="1" applyFill="1" applyBorder="1" applyAlignment="1">
      <alignment horizontal="left" vertical="center" shrinkToFit="1"/>
    </xf>
    <xf numFmtId="0" fontId="42" fillId="6" borderId="9" xfId="0" applyFont="1" applyFill="1" applyBorder="1" applyAlignment="1">
      <alignment horizontal="left" vertical="center" shrinkToFit="1"/>
    </xf>
    <xf numFmtId="0" fontId="42" fillId="6" borderId="14" xfId="0" applyFont="1" applyFill="1" applyBorder="1" applyAlignment="1">
      <alignment horizontal="left" vertical="center" shrinkToFit="1"/>
    </xf>
    <xf numFmtId="3" fontId="42" fillId="5" borderId="8" xfId="1" applyNumberFormat="1" applyFont="1" applyFill="1" applyBorder="1" applyAlignment="1">
      <alignment horizontal="left" vertical="center" shrinkToFit="1"/>
    </xf>
    <xf numFmtId="0" fontId="42" fillId="5" borderId="9" xfId="0" applyFont="1" applyFill="1" applyBorder="1" applyAlignment="1">
      <alignment horizontal="left" vertical="center" shrinkToFit="1"/>
    </xf>
    <xf numFmtId="0" fontId="42" fillId="5" borderId="14" xfId="0" applyFont="1" applyFill="1" applyBorder="1" applyAlignment="1">
      <alignment horizontal="left" vertical="center" shrinkToFit="1"/>
    </xf>
    <xf numFmtId="41" fontId="42" fillId="0" borderId="6" xfId="1" applyFont="1" applyBorder="1" applyAlignment="1">
      <alignment horizontal="center" vertical="center"/>
    </xf>
    <xf numFmtId="41" fontId="42" fillId="0" borderId="6" xfId="1" applyFont="1" applyBorder="1" applyAlignment="1">
      <alignment vertical="center"/>
    </xf>
    <xf numFmtId="4" fontId="42" fillId="0" borderId="6" xfId="0" applyNumberFormat="1" applyFont="1" applyBorder="1" applyAlignment="1">
      <alignment horizontal="right" vertical="center"/>
    </xf>
    <xf numFmtId="0" fontId="42" fillId="6" borderId="13" xfId="0" applyFont="1" applyFill="1" applyBorder="1" applyAlignment="1">
      <alignment horizontal="center" vertical="center"/>
    </xf>
    <xf numFmtId="4" fontId="42" fillId="6" borderId="6" xfId="0" applyNumberFormat="1" applyFont="1" applyFill="1" applyBorder="1" applyAlignment="1">
      <alignment horizontal="right" vertical="center"/>
    </xf>
    <xf numFmtId="0" fontId="42" fillId="5" borderId="6" xfId="0" applyFont="1" applyFill="1" applyBorder="1" applyAlignment="1">
      <alignment horizontal="center" vertical="center"/>
    </xf>
    <xf numFmtId="4" fontId="42" fillId="5" borderId="6" xfId="0" applyNumberFormat="1" applyFont="1" applyFill="1" applyBorder="1" applyAlignment="1">
      <alignment horizontal="right" vertical="center"/>
    </xf>
    <xf numFmtId="0" fontId="42" fillId="0" borderId="81" xfId="0" applyFont="1" applyBorder="1" applyAlignment="1">
      <alignment horizontal="center" vertical="center"/>
    </xf>
    <xf numFmtId="0" fontId="42" fillId="0" borderId="82" xfId="0" applyFont="1" applyBorder="1" applyAlignment="1">
      <alignment horizontal="center" vertical="center"/>
    </xf>
    <xf numFmtId="176" fontId="42" fillId="0" borderId="82" xfId="0" applyNumberFormat="1" applyFont="1" applyBorder="1" applyAlignment="1">
      <alignment vertical="center"/>
    </xf>
    <xf numFmtId="41" fontId="42" fillId="0" borderId="82" xfId="1" applyFont="1" applyBorder="1" applyAlignment="1">
      <alignment horizontal="right" vertical="center" shrinkToFit="1"/>
    </xf>
    <xf numFmtId="4" fontId="42" fillId="0" borderId="82" xfId="0" applyNumberFormat="1" applyFont="1" applyBorder="1" applyAlignment="1">
      <alignment horizontal="right" vertical="center"/>
    </xf>
    <xf numFmtId="0" fontId="42" fillId="0" borderId="81" xfId="0" applyFont="1" applyBorder="1" applyAlignment="1">
      <alignment horizontal="center" vertical="center" shrinkToFit="1"/>
    </xf>
    <xf numFmtId="0" fontId="42" fillId="0" borderId="82" xfId="0" applyFont="1" applyBorder="1" applyAlignment="1">
      <alignment horizontal="center" vertical="center" shrinkToFit="1"/>
    </xf>
    <xf numFmtId="176" fontId="42" fillId="0" borderId="82" xfId="0" applyNumberFormat="1" applyFont="1" applyBorder="1" applyAlignment="1">
      <alignment horizontal="right" vertical="center"/>
    </xf>
    <xf numFmtId="4" fontId="42" fillId="0" borderId="82" xfId="1" applyNumberFormat="1" applyFont="1" applyBorder="1" applyAlignment="1">
      <alignment horizontal="right" vertical="center" shrinkToFit="1"/>
    </xf>
    <xf numFmtId="0" fontId="62" fillId="0" borderId="0" xfId="0" applyFont="1" applyAlignment="1">
      <alignment horizontal="center" vertical="center"/>
    </xf>
    <xf numFmtId="0" fontId="41" fillId="0" borderId="0" xfId="0" applyFont="1" applyAlignment="1">
      <alignment horizontal="center" vertical="center" shrinkToFit="1"/>
    </xf>
    <xf numFmtId="0" fontId="41" fillId="0" borderId="0" xfId="0" applyFont="1" applyAlignment="1">
      <alignment horizontal="right" vertical="center"/>
    </xf>
    <xf numFmtId="179" fontId="41" fillId="0" borderId="0" xfId="0" applyNumberFormat="1" applyFont="1" applyAlignment="1">
      <alignment vertical="center"/>
    </xf>
    <xf numFmtId="179" fontId="43" fillId="0" borderId="48" xfId="0" applyNumberFormat="1" applyFont="1" applyBorder="1" applyAlignment="1">
      <alignment horizontal="distributed" vertical="center" shrinkToFit="1"/>
    </xf>
    <xf numFmtId="179" fontId="43" fillId="0" borderId="48" xfId="0" applyNumberFormat="1" applyFont="1" applyBorder="1" applyAlignment="1">
      <alignment horizontal="right" vertical="center"/>
    </xf>
    <xf numFmtId="179" fontId="43" fillId="0" borderId="48" xfId="0" applyNumberFormat="1" applyFont="1" applyBorder="1" applyAlignment="1">
      <alignment horizontal="distributed" vertical="center" indent="1"/>
    </xf>
    <xf numFmtId="179" fontId="43" fillId="0" borderId="147" xfId="0" applyNumberFormat="1" applyFont="1" applyBorder="1" applyAlignment="1">
      <alignment horizontal="right" vertical="center"/>
    </xf>
    <xf numFmtId="179" fontId="12" fillId="0" borderId="6" xfId="0" applyNumberFormat="1" applyFont="1" applyBorder="1" applyAlignment="1">
      <alignment horizontal="distributed" vertical="center" shrinkToFit="1"/>
    </xf>
    <xf numFmtId="179" fontId="41" fillId="0" borderId="6" xfId="0" applyNumberFormat="1" applyFont="1" applyBorder="1" applyAlignment="1">
      <alignment horizontal="right" vertical="center"/>
    </xf>
    <xf numFmtId="0" fontId="41" fillId="0" borderId="6" xfId="0" applyFont="1" applyBorder="1" applyAlignment="1">
      <alignment horizontal="distributed" vertical="center" indent="1"/>
    </xf>
    <xf numFmtId="179" fontId="41" fillId="0" borderId="40" xfId="0" applyNumberFormat="1" applyFont="1" applyBorder="1" applyAlignment="1">
      <alignment horizontal="right" vertical="center"/>
    </xf>
    <xf numFmtId="179" fontId="41" fillId="0" borderId="6" xfId="0" applyNumberFormat="1" applyFont="1" applyBorder="1" applyAlignment="1">
      <alignment horizontal="distributed" vertical="center" shrinkToFit="1"/>
    </xf>
    <xf numFmtId="179" fontId="41" fillId="0" borderId="6" xfId="0" applyNumberFormat="1" applyFont="1" applyBorder="1" applyAlignment="1">
      <alignment horizontal="distributed" vertical="center" indent="1"/>
    </xf>
    <xf numFmtId="179" fontId="41" fillId="0" borderId="3" xfId="0" applyNumberFormat="1" applyFont="1" applyBorder="1" applyAlignment="1">
      <alignment horizontal="distributed" vertical="center" indent="1"/>
    </xf>
    <xf numFmtId="179" fontId="41" fillId="0" borderId="82" xfId="0" quotePrefix="1" applyNumberFormat="1" applyFont="1" applyBorder="1" applyAlignment="1">
      <alignment horizontal="distributed" vertical="center" shrinkToFit="1"/>
    </xf>
    <xf numFmtId="179" fontId="41" fillId="0" borderId="82" xfId="0" quotePrefix="1" applyNumberFormat="1" applyFont="1" applyBorder="1" applyAlignment="1">
      <alignment horizontal="right" vertical="center"/>
    </xf>
    <xf numFmtId="179" fontId="41" fillId="0" borderId="82" xfId="0" applyNumberFormat="1" applyFont="1" applyBorder="1" applyAlignment="1">
      <alignment horizontal="distributed" vertical="center" indent="1"/>
    </xf>
    <xf numFmtId="179" fontId="41" fillId="0" borderId="44" xfId="0" applyNumberFormat="1" applyFont="1" applyBorder="1" applyAlignment="1">
      <alignment horizontal="right" vertical="center"/>
    </xf>
    <xf numFmtId="179" fontId="41" fillId="0" borderId="5" xfId="0" applyNumberFormat="1" applyFont="1" applyBorder="1" applyAlignment="1">
      <alignment horizontal="right" vertical="center"/>
    </xf>
    <xf numFmtId="179" fontId="41" fillId="0" borderId="39" xfId="0" applyNumberFormat="1" applyFont="1" applyBorder="1" applyAlignment="1">
      <alignment horizontal="right" vertical="center"/>
    </xf>
    <xf numFmtId="179" fontId="42" fillId="0" borderId="6" xfId="0" applyNumberFormat="1" applyFont="1" applyBorder="1" applyAlignment="1">
      <alignment horizontal="distributed" vertical="center" wrapText="1" indent="1"/>
    </xf>
    <xf numFmtId="179" fontId="41" fillId="0" borderId="6" xfId="0" applyNumberFormat="1" applyFont="1" applyBorder="1" applyAlignment="1">
      <alignment horizontal="distributed" vertical="center" wrapText="1" indent="1"/>
    </xf>
    <xf numFmtId="179" fontId="41" fillId="0" borderId="125" xfId="0" applyNumberFormat="1" applyFont="1" applyBorder="1" applyAlignment="1">
      <alignment horizontal="distributed" vertical="center" shrinkToFit="1"/>
    </xf>
    <xf numFmtId="179" fontId="41" fillId="0" borderId="125" xfId="0" applyNumberFormat="1" applyFont="1" applyBorder="1" applyAlignment="1">
      <alignment horizontal="right" vertical="center"/>
    </xf>
    <xf numFmtId="179" fontId="41" fillId="0" borderId="125" xfId="0" applyNumberFormat="1" applyFont="1" applyBorder="1" applyAlignment="1">
      <alignment horizontal="distributed" vertical="center" indent="1"/>
    </xf>
    <xf numFmtId="179" fontId="41" fillId="0" borderId="126" xfId="0" applyNumberFormat="1" applyFont="1" applyBorder="1" applyAlignment="1">
      <alignment horizontal="right" vertical="center"/>
    </xf>
    <xf numFmtId="0" fontId="12" fillId="0" borderId="6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/>
    </xf>
    <xf numFmtId="184" fontId="52" fillId="0" borderId="45" xfId="0" applyNumberFormat="1" applyFont="1" applyBorder="1" applyAlignment="1">
      <alignment horizontal="right" vertical="center" shrinkToFit="1"/>
    </xf>
    <xf numFmtId="4" fontId="42" fillId="0" borderId="6" xfId="1" applyNumberFormat="1" applyFont="1" applyFill="1" applyBorder="1" applyAlignment="1">
      <alignment horizontal="right" vertical="center" shrinkToFit="1"/>
    </xf>
    <xf numFmtId="0" fontId="57" fillId="0" borderId="141" xfId="0" applyFont="1" applyFill="1" applyBorder="1" applyAlignment="1">
      <alignment horizontal="center" vertical="center"/>
    </xf>
    <xf numFmtId="179" fontId="41" fillId="0" borderId="82" xfId="0" applyNumberFormat="1" applyFont="1" applyBorder="1" applyAlignment="1">
      <alignment horizontal="distributed" vertical="center" shrinkToFit="1"/>
    </xf>
    <xf numFmtId="179" fontId="41" fillId="0" borderId="82" xfId="0" applyNumberFormat="1" applyFont="1" applyBorder="1" applyAlignment="1">
      <alignment horizontal="right" vertical="center"/>
    </xf>
    <xf numFmtId="179" fontId="41" fillId="0" borderId="3" xfId="0" quotePrefix="1" applyNumberFormat="1" applyFont="1" applyBorder="1" applyAlignment="1">
      <alignment horizontal="distributed" vertical="center" shrinkToFit="1"/>
    </xf>
    <xf numFmtId="179" fontId="41" fillId="0" borderId="3" xfId="0" quotePrefix="1" applyNumberFormat="1" applyFont="1" applyBorder="1" applyAlignment="1">
      <alignment horizontal="right" vertical="center"/>
    </xf>
    <xf numFmtId="188" fontId="42" fillId="0" borderId="109" xfId="0" applyNumberFormat="1" applyFont="1" applyBorder="1" applyAlignment="1">
      <alignment horizontal="right" vertical="center" shrinkToFit="1"/>
    </xf>
    <xf numFmtId="188" fontId="42" fillId="6" borderId="5" xfId="0" applyNumberFormat="1" applyFont="1" applyFill="1" applyBorder="1" applyAlignment="1">
      <alignment horizontal="right" vertical="center" shrinkToFit="1"/>
    </xf>
    <xf numFmtId="188" fontId="42" fillId="7" borderId="6" xfId="0" applyNumberFormat="1" applyFont="1" applyFill="1" applyBorder="1" applyAlignment="1">
      <alignment horizontal="right" vertical="center" shrinkToFit="1"/>
    </xf>
    <xf numFmtId="188" fontId="45" fillId="6" borderId="70" xfId="0" applyNumberFormat="1" applyFont="1" applyFill="1" applyBorder="1" applyAlignment="1">
      <alignment horizontal="right" vertical="center" shrinkToFit="1"/>
    </xf>
    <xf numFmtId="188" fontId="42" fillId="7" borderId="33" xfId="0" applyNumberFormat="1" applyFont="1" applyFill="1" applyBorder="1" applyAlignment="1">
      <alignment horizontal="right" vertical="center" shrinkToFit="1"/>
    </xf>
    <xf numFmtId="188" fontId="42" fillId="0" borderId="33" xfId="0" applyNumberFormat="1" applyFont="1" applyBorder="1" applyAlignment="1">
      <alignment horizontal="right" vertical="center" shrinkToFit="1"/>
    </xf>
    <xf numFmtId="188" fontId="42" fillId="6" borderId="70" xfId="0" applyNumberFormat="1" applyFont="1" applyFill="1" applyBorder="1" applyAlignment="1">
      <alignment horizontal="right" vertical="center" shrinkToFit="1"/>
    </xf>
    <xf numFmtId="188" fontId="42" fillId="0" borderId="67" xfId="0" applyNumberFormat="1" applyFont="1" applyBorder="1" applyAlignment="1">
      <alignment horizontal="right" vertical="center" shrinkToFit="1"/>
    </xf>
    <xf numFmtId="176" fontId="12" fillId="6" borderId="156" xfId="1" applyNumberFormat="1" applyFont="1" applyFill="1" applyBorder="1" applyAlignment="1">
      <alignment horizontal="right" vertical="center" shrinkToFit="1"/>
    </xf>
    <xf numFmtId="176" fontId="12" fillId="5" borderId="13" xfId="0" applyNumberFormat="1" applyFont="1" applyFill="1" applyBorder="1" applyAlignment="1">
      <alignment vertical="center" shrinkToFit="1"/>
    </xf>
    <xf numFmtId="0" fontId="12" fillId="6" borderId="155" xfId="0" applyFont="1" applyFill="1" applyBorder="1" applyAlignment="1">
      <alignment horizontal="center" vertical="center" shrinkToFit="1"/>
    </xf>
    <xf numFmtId="176" fontId="52" fillId="0" borderId="64" xfId="0" applyNumberFormat="1" applyFont="1" applyBorder="1" applyAlignment="1">
      <alignment horizontal="center" vertical="center" shrinkToFit="1"/>
    </xf>
    <xf numFmtId="184" fontId="52" fillId="0" borderId="10" xfId="0" applyNumberFormat="1" applyFont="1" applyBorder="1" applyAlignment="1">
      <alignment horizontal="center" vertical="center" shrinkToFit="1"/>
    </xf>
    <xf numFmtId="184" fontId="52" fillId="0" borderId="45" xfId="0" applyNumberFormat="1" applyFont="1" applyBorder="1" applyAlignment="1">
      <alignment horizontal="center" vertical="center" shrinkToFit="1"/>
    </xf>
    <xf numFmtId="176" fontId="12" fillId="6" borderId="16" xfId="0" applyNumberFormat="1" applyFont="1" applyFill="1" applyBorder="1" applyAlignment="1">
      <alignment horizontal="right" vertical="center" shrinkToFit="1"/>
    </xf>
    <xf numFmtId="185" fontId="64" fillId="6" borderId="5" xfId="0" applyNumberFormat="1" applyFont="1" applyFill="1" applyBorder="1" applyAlignment="1">
      <alignment horizontal="center" vertical="center" shrinkToFit="1"/>
    </xf>
    <xf numFmtId="176" fontId="12" fillId="6" borderId="32" xfId="1" applyNumberFormat="1" applyFont="1" applyFill="1" applyBorder="1" applyAlignment="1">
      <alignment horizontal="right" vertical="center" shrinkToFit="1"/>
    </xf>
    <xf numFmtId="176" fontId="12" fillId="7" borderId="8" xfId="0" applyNumberFormat="1" applyFont="1" applyFill="1" applyBorder="1" applyAlignment="1">
      <alignment horizontal="right" vertical="center" shrinkToFit="1"/>
    </xf>
    <xf numFmtId="185" fontId="56" fillId="7" borderId="6" xfId="0" applyNumberFormat="1" applyFont="1" applyFill="1" applyBorder="1" applyAlignment="1">
      <alignment horizontal="center" vertical="center" shrinkToFit="1"/>
    </xf>
    <xf numFmtId="41" fontId="12" fillId="7" borderId="33" xfId="1" applyFont="1" applyFill="1" applyBorder="1" applyAlignment="1">
      <alignment horizontal="right" vertical="center" shrinkToFit="1"/>
    </xf>
    <xf numFmtId="176" fontId="12" fillId="0" borderId="8" xfId="0" applyNumberFormat="1" applyFont="1" applyBorder="1" applyAlignment="1">
      <alignment horizontal="right" vertical="center" shrinkToFit="1"/>
    </xf>
    <xf numFmtId="185" fontId="56" fillId="0" borderId="6" xfId="0" applyNumberFormat="1" applyFont="1" applyBorder="1" applyAlignment="1">
      <alignment horizontal="center" vertical="center" shrinkToFit="1"/>
    </xf>
    <xf numFmtId="176" fontId="12" fillId="0" borderId="33" xfId="0" applyNumberFormat="1" applyFont="1" applyBorder="1" applyAlignment="1">
      <alignment horizontal="left" vertical="center" wrapText="1" shrinkToFit="1"/>
    </xf>
    <xf numFmtId="176" fontId="12" fillId="6" borderId="8" xfId="0" applyNumberFormat="1" applyFont="1" applyFill="1" applyBorder="1" applyAlignment="1">
      <alignment horizontal="right" vertical="center" shrinkToFit="1"/>
    </xf>
    <xf numFmtId="185" fontId="56" fillId="6" borderId="6" xfId="0" applyNumberFormat="1" applyFont="1" applyFill="1" applyBorder="1" applyAlignment="1">
      <alignment horizontal="center" vertical="center" shrinkToFit="1"/>
    </xf>
    <xf numFmtId="176" fontId="12" fillId="0" borderId="33" xfId="0" applyNumberFormat="1" applyFont="1" applyBorder="1" applyAlignment="1">
      <alignment horizontal="left" vertical="center" shrinkToFit="1"/>
    </xf>
    <xf numFmtId="176" fontId="12" fillId="6" borderId="8" xfId="0" applyNumberFormat="1" applyFont="1" applyFill="1" applyBorder="1" applyAlignment="1">
      <alignment vertical="center" shrinkToFit="1"/>
    </xf>
    <xf numFmtId="176" fontId="12" fillId="7" borderId="8" xfId="0" applyNumberFormat="1" applyFont="1" applyFill="1" applyBorder="1" applyAlignment="1">
      <alignment vertical="center" shrinkToFit="1"/>
    </xf>
    <xf numFmtId="176" fontId="12" fillId="0" borderId="8" xfId="0" applyNumberFormat="1" applyFont="1" applyBorder="1" applyAlignment="1">
      <alignment vertical="center" shrinkToFit="1"/>
    </xf>
    <xf numFmtId="176" fontId="12" fillId="0" borderId="66" xfId="0" applyNumberFormat="1" applyFont="1" applyBorder="1" applyAlignment="1">
      <alignment vertical="center" wrapText="1" shrinkToFit="1"/>
    </xf>
    <xf numFmtId="176" fontId="12" fillId="0" borderId="66" xfId="0" applyNumberFormat="1" applyFont="1" applyBorder="1" applyAlignment="1">
      <alignment horizontal="left" vertical="center" wrapText="1" shrinkToFit="1"/>
    </xf>
    <xf numFmtId="41" fontId="12" fillId="0" borderId="33" xfId="1" applyFont="1" applyFill="1" applyBorder="1" applyAlignment="1">
      <alignment horizontal="right" vertical="center" shrinkToFit="1"/>
    </xf>
    <xf numFmtId="41" fontId="12" fillId="6" borderId="33" xfId="1" applyFont="1" applyFill="1" applyBorder="1" applyAlignment="1">
      <alignment horizontal="right" vertical="center" shrinkToFit="1"/>
    </xf>
    <xf numFmtId="176" fontId="12" fillId="0" borderId="36" xfId="0" applyNumberFormat="1" applyFont="1" applyBorder="1" applyAlignment="1">
      <alignment horizontal="left" vertical="center" wrapText="1" shrinkToFit="1"/>
    </xf>
    <xf numFmtId="176" fontId="42" fillId="0" borderId="33" xfId="0" quotePrefix="1" applyNumberFormat="1" applyFont="1" applyBorder="1" applyAlignment="1">
      <alignment horizontal="left" vertical="center" wrapText="1" shrinkToFit="1"/>
    </xf>
    <xf numFmtId="176" fontId="12" fillId="0" borderId="102" xfId="0" applyNumberFormat="1" applyFont="1" applyBorder="1" applyAlignment="1">
      <alignment horizontal="left" vertical="center" wrapText="1" shrinkToFit="1"/>
    </xf>
    <xf numFmtId="41" fontId="12" fillId="6" borderId="70" xfId="1" applyFont="1" applyFill="1" applyBorder="1" applyAlignment="1">
      <alignment horizontal="right" vertical="center" shrinkToFit="1"/>
    </xf>
    <xf numFmtId="41" fontId="12" fillId="0" borderId="33" xfId="1" applyFont="1" applyFill="1" applyBorder="1" applyAlignment="1">
      <alignment vertical="center"/>
    </xf>
    <xf numFmtId="41" fontId="12" fillId="7" borderId="33" xfId="1" applyFont="1" applyFill="1" applyBorder="1" applyAlignment="1">
      <alignment vertical="center"/>
    </xf>
    <xf numFmtId="41" fontId="12" fillId="0" borderId="6" xfId="1" applyFont="1" applyFill="1" applyBorder="1" applyAlignment="1">
      <alignment horizontal="center" vertical="center" wrapText="1" shrinkToFit="1"/>
    </xf>
    <xf numFmtId="41" fontId="12" fillId="6" borderId="33" xfId="1" applyFont="1" applyFill="1" applyBorder="1" applyAlignment="1">
      <alignment vertical="center"/>
    </xf>
    <xf numFmtId="0" fontId="12" fillId="0" borderId="6" xfId="0" applyFont="1" applyBorder="1" applyAlignment="1">
      <alignment vertical="center"/>
    </xf>
    <xf numFmtId="0" fontId="12" fillId="0" borderId="8" xfId="0" applyFont="1" applyBorder="1" applyAlignment="1">
      <alignment vertical="center" shrinkToFit="1"/>
    </xf>
    <xf numFmtId="0" fontId="12" fillId="0" borderId="138" xfId="0" applyFont="1" applyBorder="1" applyAlignment="1">
      <alignment vertical="center" shrinkToFit="1"/>
    </xf>
    <xf numFmtId="185" fontId="56" fillId="0" borderId="82" xfId="0" applyNumberFormat="1" applyFont="1" applyBorder="1" applyAlignment="1">
      <alignment horizontal="center" vertical="center" shrinkToFit="1"/>
    </xf>
    <xf numFmtId="41" fontId="12" fillId="0" borderId="34" xfId="1" applyFont="1" applyFill="1" applyBorder="1" applyAlignment="1">
      <alignment horizontal="center" vertical="center" shrinkToFit="1"/>
    </xf>
    <xf numFmtId="41" fontId="12" fillId="0" borderId="82" xfId="1" applyFont="1" applyFill="1" applyBorder="1" applyAlignment="1">
      <alignment vertical="center" shrinkToFit="1"/>
    </xf>
    <xf numFmtId="176" fontId="12" fillId="0" borderId="67" xfId="0" applyNumberFormat="1" applyFont="1" applyBorder="1" applyAlignment="1">
      <alignment horizontal="left" vertical="center" wrapText="1" shrinkToFit="1"/>
    </xf>
    <xf numFmtId="188" fontId="56" fillId="6" borderId="6" xfId="0" applyNumberFormat="1" applyFont="1" applyFill="1" applyBorder="1" applyAlignment="1">
      <alignment horizontal="center" vertical="center" shrinkToFit="1"/>
    </xf>
    <xf numFmtId="188" fontId="56" fillId="7" borderId="6" xfId="0" applyNumberFormat="1" applyFont="1" applyFill="1" applyBorder="1" applyAlignment="1">
      <alignment horizontal="center" vertical="center" shrinkToFit="1"/>
    </xf>
    <xf numFmtId="188" fontId="56" fillId="0" borderId="6" xfId="0" applyNumberFormat="1" applyFont="1" applyBorder="1" applyAlignment="1">
      <alignment horizontal="center" vertical="center" shrinkToFit="1"/>
    </xf>
    <xf numFmtId="0" fontId="41" fillId="0" borderId="59" xfId="0" applyFont="1" applyBorder="1" applyAlignment="1">
      <alignment vertical="center"/>
    </xf>
    <xf numFmtId="42" fontId="12" fillId="2" borderId="78" xfId="16" applyFont="1" applyFill="1" applyBorder="1" applyAlignment="1">
      <alignment horizontal="center" vertical="center"/>
    </xf>
    <xf numFmtId="42" fontId="12" fillId="2" borderId="79" xfId="16" applyFont="1" applyFill="1" applyBorder="1" applyAlignment="1">
      <alignment horizontal="center" vertical="center"/>
    </xf>
    <xf numFmtId="41" fontId="12" fillId="2" borderId="69" xfId="1" applyFont="1" applyFill="1" applyBorder="1" applyAlignment="1">
      <alignment horizontal="center" vertical="center"/>
    </xf>
    <xf numFmtId="41" fontId="12" fillId="2" borderId="69" xfId="1" applyFont="1" applyFill="1" applyBorder="1" applyAlignment="1">
      <alignment horizontal="center" vertical="center" wrapText="1"/>
    </xf>
    <xf numFmtId="49" fontId="12" fillId="2" borderId="79" xfId="1" applyNumberFormat="1" applyFont="1" applyFill="1" applyBorder="1" applyAlignment="1">
      <alignment horizontal="center" vertical="center" wrapText="1"/>
    </xf>
    <xf numFmtId="41" fontId="12" fillId="2" borderId="79" xfId="1" applyFont="1" applyFill="1" applyBorder="1" applyAlignment="1">
      <alignment horizontal="center" vertical="center"/>
    </xf>
    <xf numFmtId="0" fontId="12" fillId="16" borderId="78" xfId="0" applyFont="1" applyFill="1" applyBorder="1" applyAlignment="1">
      <alignment horizontal="center" vertical="center"/>
    </xf>
    <xf numFmtId="49" fontId="12" fillId="0" borderId="69" xfId="0" applyNumberFormat="1" applyFont="1" applyFill="1" applyBorder="1" applyAlignment="1">
      <alignment horizontal="center" vertical="center"/>
    </xf>
    <xf numFmtId="0" fontId="12" fillId="16" borderId="79" xfId="0" applyFont="1" applyFill="1" applyBorder="1" applyAlignment="1">
      <alignment horizontal="center" vertical="center"/>
    </xf>
    <xf numFmtId="49" fontId="12" fillId="4" borderId="69" xfId="0" applyNumberFormat="1" applyFont="1" applyFill="1" applyBorder="1" applyAlignment="1">
      <alignment horizontal="center" vertical="center"/>
    </xf>
    <xf numFmtId="41" fontId="42" fillId="12" borderId="69" xfId="0" applyNumberFormat="1" applyFont="1" applyFill="1" applyBorder="1" applyAlignment="1">
      <alignment horizontal="center" vertical="center"/>
    </xf>
    <xf numFmtId="41" fontId="42" fillId="0" borderId="69" xfId="0" applyNumberFormat="1" applyFont="1" applyBorder="1" applyAlignment="1">
      <alignment horizontal="center" vertical="center"/>
    </xf>
    <xf numFmtId="41" fontId="56" fillId="0" borderId="69" xfId="0" applyNumberFormat="1" applyFont="1" applyBorder="1" applyAlignment="1">
      <alignment horizontal="center" vertical="center"/>
    </xf>
    <xf numFmtId="41" fontId="56" fillId="0" borderId="69" xfId="0" applyNumberFormat="1" applyFont="1" applyFill="1" applyBorder="1" applyAlignment="1">
      <alignment horizontal="center" vertical="center"/>
    </xf>
    <xf numFmtId="41" fontId="56" fillId="12" borderId="69" xfId="0" applyNumberFormat="1" applyFont="1" applyFill="1" applyBorder="1" applyAlignment="1">
      <alignment horizontal="center" vertical="center"/>
    </xf>
    <xf numFmtId="41" fontId="56" fillId="3" borderId="69" xfId="0" applyNumberFormat="1" applyFont="1" applyFill="1" applyBorder="1" applyAlignment="1">
      <alignment horizontal="center" vertical="center"/>
    </xf>
    <xf numFmtId="49" fontId="65" fillId="0" borderId="69" xfId="0" applyNumberFormat="1" applyFont="1" applyFill="1" applyBorder="1" applyAlignment="1">
      <alignment horizontal="center" vertical="center"/>
    </xf>
    <xf numFmtId="41" fontId="65" fillId="0" borderId="59" xfId="1" applyFont="1" applyFill="1" applyBorder="1" applyAlignment="1">
      <alignment horizontal="center" vertical="center"/>
    </xf>
    <xf numFmtId="41" fontId="66" fillId="12" borderId="59" xfId="0" applyNumberFormat="1" applyFont="1" applyFill="1" applyBorder="1" applyAlignment="1">
      <alignment horizontal="right" vertical="center"/>
    </xf>
    <xf numFmtId="41" fontId="66" fillId="0" borderId="59" xfId="0" applyNumberFormat="1" applyFont="1" applyBorder="1" applyAlignment="1">
      <alignment horizontal="right" vertical="center"/>
    </xf>
    <xf numFmtId="41" fontId="66" fillId="0" borderId="69" xfId="0" applyNumberFormat="1" applyFont="1" applyBorder="1" applyAlignment="1">
      <alignment horizontal="right" vertical="center"/>
    </xf>
    <xf numFmtId="41" fontId="67" fillId="0" borderId="69" xfId="18" applyFont="1" applyBorder="1" applyAlignment="1">
      <alignment horizontal="right" vertical="center"/>
    </xf>
    <xf numFmtId="41" fontId="65" fillId="0" borderId="69" xfId="1" applyFont="1" applyFill="1" applyBorder="1" applyAlignment="1">
      <alignment vertical="center"/>
    </xf>
    <xf numFmtId="41" fontId="65" fillId="12" borderId="69" xfId="1" applyNumberFormat="1" applyFont="1" applyFill="1" applyBorder="1" applyAlignment="1">
      <alignment vertical="center"/>
    </xf>
    <xf numFmtId="41" fontId="67" fillId="9" borderId="69" xfId="18" applyFont="1" applyFill="1" applyBorder="1" applyAlignment="1">
      <alignment horizontal="right" vertical="center"/>
    </xf>
    <xf numFmtId="41" fontId="65" fillId="12" borderId="69" xfId="1" applyFont="1" applyFill="1" applyBorder="1" applyAlignment="1">
      <alignment vertical="center"/>
    </xf>
    <xf numFmtId="41" fontId="65" fillId="0" borderId="78" xfId="1" applyFont="1" applyFill="1" applyBorder="1" applyAlignment="1">
      <alignment vertical="center"/>
    </xf>
    <xf numFmtId="41" fontId="67" fillId="0" borderId="5" xfId="18" applyFont="1" applyBorder="1" applyAlignment="1">
      <alignment horizontal="right" vertical="center"/>
    </xf>
    <xf numFmtId="41" fontId="65" fillId="0" borderId="79" xfId="1" applyFont="1" applyFill="1" applyBorder="1" applyAlignment="1">
      <alignment vertical="center"/>
    </xf>
    <xf numFmtId="49" fontId="65" fillId="4" borderId="69" xfId="0" applyNumberFormat="1" applyFont="1" applyFill="1" applyBorder="1" applyAlignment="1">
      <alignment horizontal="center" vertical="center"/>
    </xf>
    <xf numFmtId="41" fontId="65" fillId="4" borderId="59" xfId="1" applyFont="1" applyFill="1" applyBorder="1" applyAlignment="1">
      <alignment horizontal="center" vertical="center"/>
    </xf>
    <xf numFmtId="0" fontId="68" fillId="0" borderId="0" xfId="0" applyFont="1"/>
    <xf numFmtId="49" fontId="65" fillId="4" borderId="78" xfId="0" applyNumberFormat="1" applyFont="1" applyFill="1" applyBorder="1" applyAlignment="1">
      <alignment horizontal="center" vertical="center"/>
    </xf>
    <xf numFmtId="41" fontId="65" fillId="4" borderId="42" xfId="1" applyFont="1" applyFill="1" applyBorder="1" applyAlignment="1">
      <alignment horizontal="center" vertical="center"/>
    </xf>
    <xf numFmtId="41" fontId="66" fillId="12" borderId="42" xfId="0" applyNumberFormat="1" applyFont="1" applyFill="1" applyBorder="1" applyAlignment="1">
      <alignment horizontal="right" vertical="center"/>
    </xf>
    <xf numFmtId="41" fontId="66" fillId="0" borderId="42" xfId="0" applyNumberFormat="1" applyFont="1" applyBorder="1" applyAlignment="1">
      <alignment horizontal="right" vertical="center"/>
    </xf>
    <xf numFmtId="41" fontId="66" fillId="0" borderId="78" xfId="0" applyNumberFormat="1" applyFont="1" applyBorder="1" applyAlignment="1">
      <alignment horizontal="right" vertical="center"/>
    </xf>
    <xf numFmtId="41" fontId="67" fillId="0" borderId="4" xfId="18" applyFont="1" applyBorder="1" applyAlignment="1">
      <alignment horizontal="right" vertical="center"/>
    </xf>
    <xf numFmtId="41" fontId="65" fillId="12" borderId="78" xfId="1" applyNumberFormat="1" applyFont="1" applyFill="1" applyBorder="1" applyAlignment="1">
      <alignment vertical="center"/>
    </xf>
    <xf numFmtId="41" fontId="67" fillId="9" borderId="78" xfId="18" applyFont="1" applyFill="1" applyBorder="1" applyAlignment="1">
      <alignment horizontal="right" vertical="center"/>
    </xf>
    <xf numFmtId="41" fontId="65" fillId="12" borderId="78" xfId="1" applyFont="1" applyFill="1" applyBorder="1" applyAlignment="1">
      <alignment vertical="center"/>
    </xf>
    <xf numFmtId="41" fontId="65" fillId="0" borderId="94" xfId="1" applyFont="1" applyFill="1" applyBorder="1" applyAlignment="1">
      <alignment vertical="center"/>
    </xf>
    <xf numFmtId="41" fontId="42" fillId="0" borderId="59" xfId="1" applyFont="1" applyFill="1" applyBorder="1" applyAlignment="1">
      <alignment horizontal="center" vertical="center"/>
    </xf>
    <xf numFmtId="41" fontId="69" fillId="12" borderId="59" xfId="0" applyNumberFormat="1" applyFont="1" applyFill="1" applyBorder="1" applyAlignment="1">
      <alignment horizontal="right" vertical="center"/>
    </xf>
    <xf numFmtId="41" fontId="69" fillId="0" borderId="59" xfId="0" applyNumberFormat="1" applyFont="1" applyBorder="1" applyAlignment="1">
      <alignment horizontal="right" vertical="center"/>
    </xf>
    <xf numFmtId="41" fontId="69" fillId="0" borderId="69" xfId="0" applyNumberFormat="1" applyFont="1" applyBorder="1" applyAlignment="1">
      <alignment horizontal="right" vertical="center"/>
    </xf>
    <xf numFmtId="41" fontId="42" fillId="0" borderId="69" xfId="18" applyFont="1" applyBorder="1" applyAlignment="1">
      <alignment horizontal="right" vertical="center"/>
    </xf>
    <xf numFmtId="41" fontId="42" fillId="0" borderId="69" xfId="1" applyFont="1" applyFill="1" applyBorder="1" applyAlignment="1">
      <alignment vertical="center"/>
    </xf>
    <xf numFmtId="41" fontId="42" fillId="12" borderId="69" xfId="1" applyNumberFormat="1" applyFont="1" applyFill="1" applyBorder="1" applyAlignment="1">
      <alignment vertical="center"/>
    </xf>
    <xf numFmtId="41" fontId="42" fillId="9" borderId="69" xfId="18" applyFont="1" applyFill="1" applyBorder="1" applyAlignment="1">
      <alignment horizontal="right" vertical="center"/>
    </xf>
    <xf numFmtId="41" fontId="42" fillId="12" borderId="69" xfId="1" applyFont="1" applyFill="1" applyBorder="1" applyAlignment="1">
      <alignment vertical="center"/>
    </xf>
    <xf numFmtId="41" fontId="42" fillId="0" borderId="78" xfId="1" applyFont="1" applyFill="1" applyBorder="1" applyAlignment="1">
      <alignment vertical="center"/>
    </xf>
    <xf numFmtId="41" fontId="42" fillId="12" borderId="78" xfId="1" applyFont="1" applyFill="1" applyBorder="1" applyAlignment="1">
      <alignment vertical="center"/>
    </xf>
    <xf numFmtId="41" fontId="42" fillId="0" borderId="5" xfId="18" applyFont="1" applyBorder="1" applyAlignment="1">
      <alignment horizontal="right" vertical="center"/>
    </xf>
    <xf numFmtId="41" fontId="42" fillId="0" borderId="79" xfId="1" applyFont="1" applyFill="1" applyBorder="1" applyAlignment="1">
      <alignment vertical="center"/>
    </xf>
    <xf numFmtId="41" fontId="42" fillId="12" borderId="79" xfId="1" applyFont="1" applyFill="1" applyBorder="1" applyAlignment="1">
      <alignment vertical="center"/>
    </xf>
    <xf numFmtId="41" fontId="42" fillId="4" borderId="59" xfId="1" applyFont="1" applyFill="1" applyBorder="1" applyAlignment="1">
      <alignment horizontal="center" vertical="center"/>
    </xf>
    <xf numFmtId="41" fontId="7" fillId="12" borderId="69" xfId="0" applyNumberFormat="1" applyFont="1" applyFill="1" applyBorder="1" applyAlignment="1">
      <alignment vertical="center"/>
    </xf>
    <xf numFmtId="41" fontId="7" fillId="3" borderId="69" xfId="0" applyNumberFormat="1" applyFont="1" applyFill="1" applyBorder="1" applyAlignment="1">
      <alignment vertical="center"/>
    </xf>
    <xf numFmtId="41" fontId="70" fillId="0" borderId="59" xfId="1" applyFont="1" applyFill="1" applyBorder="1" applyAlignment="1">
      <alignment horizontal="center" vertical="center"/>
    </xf>
    <xf numFmtId="41" fontId="71" fillId="12" borderId="59" xfId="0" applyNumberFormat="1" applyFont="1" applyFill="1" applyBorder="1" applyAlignment="1">
      <alignment horizontal="right" vertical="center"/>
    </xf>
    <xf numFmtId="41" fontId="71" fillId="0" borderId="59" xfId="0" applyNumberFormat="1" applyFont="1" applyBorder="1" applyAlignment="1">
      <alignment horizontal="right" vertical="center"/>
    </xf>
    <xf numFmtId="41" fontId="71" fillId="0" borderId="69" xfId="0" applyNumberFormat="1" applyFont="1" applyBorder="1" applyAlignment="1">
      <alignment horizontal="right" vertical="center"/>
    </xf>
    <xf numFmtId="41" fontId="26" fillId="0" borderId="69" xfId="18" applyFont="1" applyBorder="1" applyAlignment="1">
      <alignment horizontal="right" vertical="center"/>
    </xf>
    <xf numFmtId="41" fontId="70" fillId="0" borderId="69" xfId="1" applyFont="1" applyFill="1" applyBorder="1" applyAlignment="1">
      <alignment vertical="center"/>
    </xf>
    <xf numFmtId="41" fontId="70" fillId="12" borderId="69" xfId="1" applyNumberFormat="1" applyFont="1" applyFill="1" applyBorder="1" applyAlignment="1">
      <alignment vertical="center"/>
    </xf>
    <xf numFmtId="41" fontId="26" fillId="9" borderId="69" xfId="18" applyFont="1" applyFill="1" applyBorder="1" applyAlignment="1">
      <alignment horizontal="right" vertical="center"/>
    </xf>
    <xf numFmtId="41" fontId="70" fillId="12" borderId="69" xfId="1" applyFont="1" applyFill="1" applyBorder="1" applyAlignment="1">
      <alignment vertical="center"/>
    </xf>
    <xf numFmtId="41" fontId="70" fillId="0" borderId="78" xfId="1" applyFont="1" applyFill="1" applyBorder="1" applyAlignment="1">
      <alignment vertical="center"/>
    </xf>
    <xf numFmtId="41" fontId="26" fillId="0" borderId="5" xfId="18" applyFont="1" applyBorder="1" applyAlignment="1">
      <alignment horizontal="right" vertical="center"/>
    </xf>
    <xf numFmtId="41" fontId="26" fillId="9" borderId="25" xfId="18" applyFont="1" applyFill="1" applyBorder="1" applyAlignment="1">
      <alignment horizontal="right" vertical="center"/>
    </xf>
    <xf numFmtId="41" fontId="70" fillId="0" borderId="79" xfId="1" applyFont="1" applyFill="1" applyBorder="1" applyAlignment="1">
      <alignment vertical="center"/>
    </xf>
    <xf numFmtId="41" fontId="68" fillId="0" borderId="69" xfId="0" applyNumberFormat="1" applyFont="1" applyBorder="1" applyAlignment="1">
      <alignment vertical="center"/>
    </xf>
    <xf numFmtId="41" fontId="68" fillId="12" borderId="69" xfId="0" applyNumberFormat="1" applyFont="1" applyFill="1" applyBorder="1" applyAlignment="1">
      <alignment vertical="center"/>
    </xf>
    <xf numFmtId="41" fontId="68" fillId="3" borderId="69" xfId="0" applyNumberFormat="1" applyFont="1" applyFill="1" applyBorder="1" applyAlignment="1">
      <alignment vertical="center"/>
    </xf>
    <xf numFmtId="176" fontId="52" fillId="0" borderId="157" xfId="0" applyNumberFormat="1" applyFont="1" applyBorder="1" applyAlignment="1">
      <alignment horizontal="right" vertical="center" shrinkToFit="1"/>
    </xf>
    <xf numFmtId="42" fontId="18" fillId="0" borderId="0" xfId="16" applyFont="1" applyFill="1" applyAlignment="1">
      <alignment horizontal="left" vertical="center"/>
    </xf>
    <xf numFmtId="42" fontId="15" fillId="2" borderId="78" xfId="16" applyFont="1" applyFill="1" applyBorder="1" applyAlignment="1">
      <alignment horizontal="center" vertical="center"/>
    </xf>
    <xf numFmtId="42" fontId="15" fillId="2" borderId="79" xfId="16" applyFont="1" applyFill="1" applyBorder="1" applyAlignment="1">
      <alignment horizontal="center" vertical="center"/>
    </xf>
    <xf numFmtId="41" fontId="15" fillId="2" borderId="79" xfId="1" applyFont="1" applyFill="1" applyBorder="1" applyAlignment="1">
      <alignment horizontal="center" vertical="center"/>
    </xf>
    <xf numFmtId="41" fontId="65" fillId="3" borderId="78" xfId="1" applyFont="1" applyFill="1" applyBorder="1" applyAlignment="1">
      <alignment horizontal="center" vertical="center"/>
    </xf>
    <xf numFmtId="41" fontId="65" fillId="3" borderId="79" xfId="1" applyFont="1" applyFill="1" applyBorder="1" applyAlignment="1">
      <alignment horizontal="center" vertical="center"/>
    </xf>
    <xf numFmtId="0" fontId="12" fillId="5" borderId="9" xfId="0" applyNumberFormat="1" applyFont="1" applyFill="1" applyBorder="1" applyAlignment="1">
      <alignment horizontal="center" vertical="center"/>
    </xf>
    <xf numFmtId="0" fontId="12" fillId="6" borderId="9" xfId="0" applyNumberFormat="1" applyFont="1" applyFill="1" applyBorder="1" applyAlignment="1">
      <alignment horizontal="center" vertical="center"/>
    </xf>
    <xf numFmtId="0" fontId="12" fillId="5" borderId="9" xfId="0" applyFont="1" applyFill="1" applyBorder="1" applyAlignment="1">
      <alignment horizontal="center" vertical="center" shrinkToFit="1"/>
    </xf>
    <xf numFmtId="0" fontId="12" fillId="5" borderId="9" xfId="0" applyNumberFormat="1" applyFont="1" applyFill="1" applyBorder="1" applyAlignment="1">
      <alignment horizontal="center" vertical="center" shrinkToFit="1"/>
    </xf>
    <xf numFmtId="0" fontId="12" fillId="0" borderId="9" xfId="0" applyNumberFormat="1" applyFont="1" applyFill="1" applyBorder="1" applyAlignment="1">
      <alignment horizontal="center" vertical="center"/>
    </xf>
    <xf numFmtId="3" fontId="12" fillId="5" borderId="9" xfId="2" applyNumberFormat="1" applyFont="1" applyFill="1" applyBorder="1" applyAlignment="1">
      <alignment horizontal="center" vertical="center" shrinkToFit="1"/>
    </xf>
    <xf numFmtId="41" fontId="12" fillId="0" borderId="9" xfId="0" applyNumberFormat="1" applyFont="1" applyBorder="1" applyAlignment="1">
      <alignment vertical="center" shrinkToFit="1"/>
    </xf>
    <xf numFmtId="177" fontId="41" fillId="0" borderId="0" xfId="0" applyNumberFormat="1" applyFont="1" applyBorder="1" applyAlignment="1">
      <alignment vertical="center"/>
    </xf>
    <xf numFmtId="41" fontId="41" fillId="0" borderId="0" xfId="0" applyNumberFormat="1" applyFont="1" applyBorder="1" applyAlignment="1">
      <alignment vertical="center"/>
    </xf>
    <xf numFmtId="41" fontId="12" fillId="14" borderId="6" xfId="1" applyFont="1" applyFill="1" applyBorder="1" applyAlignment="1">
      <alignment horizontal="center" vertical="center" shrinkToFit="1"/>
    </xf>
    <xf numFmtId="41" fontId="12" fillId="14" borderId="6" xfId="1" applyFont="1" applyFill="1" applyBorder="1" applyAlignment="1">
      <alignment vertical="center" shrinkToFit="1"/>
    </xf>
    <xf numFmtId="41" fontId="12" fillId="14" borderId="6" xfId="1" applyFont="1" applyFill="1" applyBorder="1" applyAlignment="1">
      <alignment horizontal="right" vertical="center" shrinkToFit="1"/>
    </xf>
    <xf numFmtId="187" fontId="12" fillId="14" borderId="33" xfId="1" applyNumberFormat="1" applyFont="1" applyFill="1" applyBorder="1" applyAlignment="1">
      <alignment horizontal="right" vertical="center" shrinkToFit="1"/>
    </xf>
    <xf numFmtId="176" fontId="12" fillId="14" borderId="13" xfId="1" applyNumberFormat="1" applyFont="1" applyFill="1" applyBorder="1" applyAlignment="1">
      <alignment horizontal="right" vertical="center" shrinkToFit="1"/>
    </xf>
    <xf numFmtId="176" fontId="12" fillId="14" borderId="6" xfId="1" applyNumberFormat="1" applyFont="1" applyFill="1" applyBorder="1" applyAlignment="1">
      <alignment horizontal="right" vertical="center" shrinkToFit="1"/>
    </xf>
    <xf numFmtId="12" fontId="46" fillId="0" borderId="9" xfId="1" applyNumberFormat="1" applyFont="1" applyFill="1" applyBorder="1" applyAlignment="1">
      <alignment horizontal="center" vertical="center" shrinkToFit="1"/>
    </xf>
    <xf numFmtId="10" fontId="74" fillId="0" borderId="0" xfId="23" applyNumberFormat="1" applyFont="1" applyFill="1" applyBorder="1" applyAlignment="1">
      <alignment horizontal="right" vertical="center" shrinkToFit="1"/>
    </xf>
    <xf numFmtId="0" fontId="12" fillId="0" borderId="78" xfId="0" applyFont="1" applyBorder="1" applyAlignment="1">
      <alignment horizontal="center" vertical="center" wrapText="1"/>
    </xf>
    <xf numFmtId="42" fontId="12" fillId="2" borderId="78" xfId="16" applyFont="1" applyFill="1" applyBorder="1" applyAlignment="1">
      <alignment horizontal="center" vertical="center"/>
    </xf>
    <xf numFmtId="42" fontId="12" fillId="2" borderId="79" xfId="16" applyFont="1" applyFill="1" applyBorder="1" applyAlignment="1">
      <alignment horizontal="center" vertical="center"/>
    </xf>
    <xf numFmtId="41" fontId="12" fillId="2" borderId="79" xfId="1" applyFont="1" applyFill="1" applyBorder="1" applyAlignment="1">
      <alignment horizontal="center" vertical="center"/>
    </xf>
    <xf numFmtId="0" fontId="12" fillId="0" borderId="78" xfId="0" applyFont="1" applyFill="1" applyBorder="1" applyAlignment="1">
      <alignment horizontal="center" vertical="center"/>
    </xf>
    <xf numFmtId="0" fontId="12" fillId="0" borderId="78" xfId="0" applyFont="1" applyFill="1" applyBorder="1" applyAlignment="1">
      <alignment horizontal="center" vertical="center" wrapText="1"/>
    </xf>
    <xf numFmtId="0" fontId="12" fillId="0" borderId="78" xfId="0" applyFont="1" applyBorder="1" applyAlignment="1">
      <alignment horizontal="center" vertical="center"/>
    </xf>
    <xf numFmtId="41" fontId="42" fillId="3" borderId="78" xfId="1" applyFont="1" applyFill="1" applyBorder="1" applyAlignment="1">
      <alignment horizontal="center" vertical="center"/>
    </xf>
    <xf numFmtId="187" fontId="12" fillId="0" borderId="70" xfId="1" applyNumberFormat="1" applyFont="1" applyBorder="1" applyAlignment="1">
      <alignment horizontal="right" vertical="center" shrinkToFit="1"/>
    </xf>
    <xf numFmtId="178" fontId="12" fillId="0" borderId="157" xfId="1" applyNumberFormat="1" applyFont="1" applyBorder="1" applyAlignment="1">
      <alignment horizontal="right" vertical="center" shrinkToFit="1"/>
    </xf>
    <xf numFmtId="0" fontId="42" fillId="0" borderId="73" xfId="0" applyFont="1" applyBorder="1" applyAlignment="1">
      <alignment horizontal="center" vertical="center" wrapText="1"/>
    </xf>
    <xf numFmtId="0" fontId="42" fillId="0" borderId="90" xfId="0" applyFont="1" applyBorder="1" applyAlignment="1">
      <alignment horizontal="center" vertical="center" wrapText="1"/>
    </xf>
    <xf numFmtId="3" fontId="12" fillId="0" borderId="51" xfId="1" applyNumberFormat="1" applyFont="1" applyBorder="1" applyAlignment="1">
      <alignment vertical="center" shrinkToFit="1"/>
    </xf>
    <xf numFmtId="3" fontId="12" fillId="0" borderId="157" xfId="1" applyNumberFormat="1" applyFont="1" applyBorder="1" applyAlignment="1">
      <alignment vertical="center" shrinkToFit="1"/>
    </xf>
    <xf numFmtId="176" fontId="12" fillId="6" borderId="158" xfId="1" applyNumberFormat="1" applyFont="1" applyFill="1" applyBorder="1" applyAlignment="1">
      <alignment horizontal="right" vertical="center" shrinkToFit="1"/>
    </xf>
    <xf numFmtId="176" fontId="12" fillId="5" borderId="89" xfId="1" applyNumberFormat="1" applyFont="1" applyFill="1" applyBorder="1" applyAlignment="1">
      <alignment horizontal="right" vertical="center" shrinkToFit="1"/>
    </xf>
    <xf numFmtId="176" fontId="12" fillId="14" borderId="33" xfId="1" applyNumberFormat="1" applyFont="1" applyFill="1" applyBorder="1" applyAlignment="1">
      <alignment horizontal="right" vertical="center" shrinkToFit="1"/>
    </xf>
    <xf numFmtId="176" fontId="12" fillId="0" borderId="33" xfId="1" applyNumberFormat="1" applyFont="1" applyFill="1" applyBorder="1" applyAlignment="1">
      <alignment horizontal="right" vertical="center" shrinkToFit="1"/>
    </xf>
    <xf numFmtId="176" fontId="12" fillId="5" borderId="33" xfId="1" applyNumberFormat="1" applyFont="1" applyFill="1" applyBorder="1" applyAlignment="1">
      <alignment horizontal="right" vertical="center" shrinkToFit="1"/>
    </xf>
    <xf numFmtId="176" fontId="12" fillId="6" borderId="33" xfId="1" applyNumberFormat="1" applyFont="1" applyFill="1" applyBorder="1" applyAlignment="1">
      <alignment horizontal="right" vertical="center" shrinkToFit="1"/>
    </xf>
    <xf numFmtId="176" fontId="12" fillId="0" borderId="33" xfId="0" applyNumberFormat="1" applyFont="1" applyFill="1" applyBorder="1" applyAlignment="1">
      <alignment vertical="center" shrinkToFit="1"/>
    </xf>
    <xf numFmtId="176" fontId="12" fillId="6" borderId="33" xfId="0" applyNumberFormat="1" applyFont="1" applyFill="1" applyBorder="1" applyAlignment="1">
      <alignment vertical="center" shrinkToFit="1"/>
    </xf>
    <xf numFmtId="43" fontId="41" fillId="0" borderId="0" xfId="1" applyNumberFormat="1" applyFont="1" applyBorder="1" applyAlignment="1">
      <alignment vertical="center"/>
    </xf>
    <xf numFmtId="41" fontId="7" fillId="0" borderId="69" xfId="0" applyNumberFormat="1" applyFont="1" applyFill="1" applyBorder="1" applyAlignment="1">
      <alignment vertical="center"/>
    </xf>
    <xf numFmtId="41" fontId="42" fillId="14" borderId="69" xfId="0" applyNumberFormat="1" applyFont="1" applyFill="1" applyBorder="1" applyAlignment="1">
      <alignment horizontal="center" vertical="center"/>
    </xf>
    <xf numFmtId="0" fontId="41" fillId="0" borderId="0" xfId="0" applyFont="1" applyBorder="1" applyAlignment="1">
      <alignment horizontal="right" vertical="center"/>
    </xf>
    <xf numFmtId="41" fontId="42" fillId="12" borderId="0" xfId="0" applyNumberFormat="1" applyFont="1" applyFill="1" applyBorder="1" applyAlignment="1">
      <alignment horizontal="center" vertical="center"/>
    </xf>
    <xf numFmtId="41" fontId="56" fillId="0" borderId="0" xfId="0" applyNumberFormat="1" applyFont="1" applyFill="1" applyBorder="1" applyAlignment="1">
      <alignment horizontal="center" vertical="center"/>
    </xf>
    <xf numFmtId="41" fontId="56" fillId="12" borderId="0" xfId="0" applyNumberFormat="1" applyFont="1" applyFill="1" applyBorder="1" applyAlignment="1">
      <alignment horizontal="center" vertical="center"/>
    </xf>
    <xf numFmtId="41" fontId="56" fillId="3" borderId="0" xfId="0" applyNumberFormat="1" applyFont="1" applyFill="1" applyBorder="1" applyAlignment="1">
      <alignment horizontal="center" vertical="center"/>
    </xf>
    <xf numFmtId="41" fontId="42" fillId="0" borderId="0" xfId="0" applyNumberFormat="1" applyFont="1" applyBorder="1" applyAlignment="1">
      <alignment horizontal="center" vertical="center"/>
    </xf>
    <xf numFmtId="41" fontId="56" fillId="0" borderId="0" xfId="0" applyNumberFormat="1" applyFont="1" applyBorder="1" applyAlignment="1">
      <alignment horizontal="center" vertical="center"/>
    </xf>
    <xf numFmtId="41" fontId="75" fillId="0" borderId="0" xfId="0" applyNumberFormat="1" applyFont="1" applyFill="1" applyBorder="1" applyAlignment="1">
      <alignment horizontal="center" vertical="center"/>
    </xf>
    <xf numFmtId="0" fontId="47" fillId="0" borderId="0" xfId="0" applyFont="1" applyFill="1" applyBorder="1" applyAlignment="1">
      <alignment horizontal="right" vertical="center"/>
    </xf>
    <xf numFmtId="41" fontId="59" fillId="0" borderId="0" xfId="0" applyNumberFormat="1" applyFont="1" applyFill="1" applyBorder="1" applyAlignment="1">
      <alignment horizontal="center" vertical="center"/>
    </xf>
    <xf numFmtId="0" fontId="76" fillId="0" borderId="0" xfId="0" applyFont="1" applyFill="1" applyAlignment="1">
      <alignment horizontal="center" vertical="center"/>
    </xf>
    <xf numFmtId="41" fontId="69" fillId="12" borderId="69" xfId="0" applyNumberFormat="1" applyFont="1" applyFill="1" applyBorder="1" applyAlignment="1">
      <alignment horizontal="right" vertical="center"/>
    </xf>
    <xf numFmtId="41" fontId="42" fillId="12" borderId="69" xfId="18" applyFont="1" applyFill="1" applyBorder="1" applyAlignment="1">
      <alignment horizontal="right" vertical="center"/>
    </xf>
    <xf numFmtId="41" fontId="76" fillId="0" borderId="0" xfId="0" applyNumberFormat="1" applyFont="1" applyFill="1" applyAlignment="1">
      <alignment horizontal="center" vertical="center"/>
    </xf>
    <xf numFmtId="41" fontId="0" fillId="0" borderId="0" xfId="0" applyNumberFormat="1"/>
    <xf numFmtId="41" fontId="0" fillId="0" borderId="0" xfId="0" applyNumberFormat="1" applyAlignment="1">
      <alignment vertical="center"/>
    </xf>
    <xf numFmtId="41" fontId="41" fillId="22" borderId="0" xfId="1" applyFont="1" applyFill="1" applyBorder="1" applyAlignment="1">
      <alignment vertical="center"/>
    </xf>
    <xf numFmtId="0" fontId="12" fillId="6" borderId="9" xfId="0" applyNumberFormat="1" applyFont="1" applyFill="1" applyBorder="1" applyAlignment="1">
      <alignment horizontal="center" vertical="center" shrinkToFit="1"/>
    </xf>
    <xf numFmtId="0" fontId="12" fillId="6" borderId="131" xfId="0" applyFont="1" applyFill="1" applyBorder="1" applyAlignment="1">
      <alignment vertical="center"/>
    </xf>
    <xf numFmtId="0" fontId="12" fillId="0" borderId="9" xfId="0" applyNumberFormat="1" applyFont="1" applyFill="1" applyBorder="1" applyAlignment="1">
      <alignment horizontal="center" vertical="center" shrinkToFit="1"/>
    </xf>
    <xf numFmtId="176" fontId="12" fillId="0" borderId="6" xfId="0" applyNumberFormat="1" applyFont="1" applyBorder="1" applyAlignment="1">
      <alignment horizontal="right" vertical="center"/>
    </xf>
    <xf numFmtId="41" fontId="12" fillId="0" borderId="6" xfId="1" applyFont="1" applyBorder="1" applyAlignment="1">
      <alignment horizontal="right" vertical="center"/>
    </xf>
    <xf numFmtId="41" fontId="12" fillId="0" borderId="0" xfId="1" applyFont="1" applyBorder="1" applyAlignment="1">
      <alignment horizontal="right" vertical="center"/>
    </xf>
    <xf numFmtId="41" fontId="12" fillId="0" borderId="0" xfId="0" applyNumberFormat="1" applyFont="1" applyBorder="1" applyAlignment="1">
      <alignment horizontal="right" vertical="center"/>
    </xf>
    <xf numFmtId="0" fontId="72" fillId="0" borderId="9" xfId="21" applyFont="1" applyFill="1" applyBorder="1" applyAlignment="1">
      <alignment horizontal="center" vertical="center"/>
    </xf>
    <xf numFmtId="180" fontId="72" fillId="0" borderId="9" xfId="21" applyNumberFormat="1" applyFont="1" applyFill="1" applyBorder="1" applyAlignment="1">
      <alignment horizontal="center" vertical="center"/>
    </xf>
    <xf numFmtId="49" fontId="72" fillId="0" borderId="9" xfId="21" applyNumberFormat="1" applyFont="1" applyFill="1" applyBorder="1" applyAlignment="1">
      <alignment horizontal="center" vertical="center"/>
    </xf>
    <xf numFmtId="192" fontId="72" fillId="0" borderId="9" xfId="21" quotePrefix="1" applyNumberFormat="1" applyFont="1" applyFill="1" applyBorder="1" applyAlignment="1">
      <alignment horizontal="right" vertical="center" shrinkToFit="1"/>
    </xf>
    <xf numFmtId="193" fontId="72" fillId="0" borderId="14" xfId="11" applyNumberFormat="1" applyFont="1" applyFill="1" applyBorder="1" applyAlignment="1">
      <alignment horizontal="right" vertical="center"/>
    </xf>
    <xf numFmtId="177" fontId="72" fillId="0" borderId="9" xfId="2" applyNumberFormat="1" applyFont="1" applyFill="1" applyBorder="1" applyAlignment="1">
      <alignment vertical="center"/>
    </xf>
    <xf numFmtId="0" fontId="56" fillId="0" borderId="9" xfId="0" applyNumberFormat="1" applyFont="1" applyFill="1" applyBorder="1" applyAlignment="1">
      <alignment horizontal="center" vertical="center" shrinkToFit="1"/>
    </xf>
    <xf numFmtId="41" fontId="12" fillId="14" borderId="9" xfId="0" applyNumberFormat="1" applyFont="1" applyFill="1" applyBorder="1" applyAlignment="1">
      <alignment vertical="center" shrinkToFit="1"/>
    </xf>
    <xf numFmtId="193" fontId="12" fillId="0" borderId="0" xfId="1" applyNumberFormat="1" applyFont="1" applyBorder="1" applyAlignment="1">
      <alignment vertical="center"/>
    </xf>
    <xf numFmtId="193" fontId="12" fillId="0" borderId="22" xfId="0" applyNumberFormat="1" applyFont="1" applyBorder="1" applyAlignment="1">
      <alignment horizontal="right" vertical="center"/>
    </xf>
    <xf numFmtId="193" fontId="12" fillId="9" borderId="14" xfId="18" applyNumberFormat="1" applyFont="1" applyFill="1" applyBorder="1" applyAlignment="1">
      <alignment horizontal="right" vertical="center"/>
    </xf>
    <xf numFmtId="193" fontId="12" fillId="0" borderId="14" xfId="1" applyNumberFormat="1" applyFont="1" applyBorder="1" applyAlignment="1">
      <alignment vertical="center" shrinkToFit="1"/>
    </xf>
    <xf numFmtId="193" fontId="12" fillId="0" borderId="14" xfId="0" applyNumberFormat="1" applyFont="1" applyBorder="1" applyAlignment="1">
      <alignment vertical="center" shrinkToFit="1"/>
    </xf>
    <xf numFmtId="193" fontId="12" fillId="0" borderId="0" xfId="1" applyNumberFormat="1" applyFont="1" applyFill="1" applyBorder="1" applyAlignment="1">
      <alignment vertical="center"/>
    </xf>
    <xf numFmtId="177" fontId="72" fillId="14" borderId="9" xfId="2" applyNumberFormat="1" applyFont="1" applyFill="1" applyBorder="1" applyAlignment="1">
      <alignment vertical="center"/>
    </xf>
    <xf numFmtId="0" fontId="72" fillId="14" borderId="9" xfId="21" applyFont="1" applyFill="1" applyBorder="1" applyAlignment="1">
      <alignment horizontal="center" vertical="center"/>
    </xf>
    <xf numFmtId="181" fontId="72" fillId="14" borderId="9" xfId="21" applyNumberFormat="1" applyFont="1" applyFill="1" applyBorder="1" applyAlignment="1">
      <alignment horizontal="right" vertical="center"/>
    </xf>
    <xf numFmtId="180" fontId="72" fillId="14" borderId="9" xfId="21" applyNumberFormat="1" applyFont="1" applyFill="1" applyBorder="1" applyAlignment="1">
      <alignment horizontal="center" vertical="center"/>
    </xf>
    <xf numFmtId="49" fontId="72" fillId="14" borderId="9" xfId="21" applyNumberFormat="1" applyFont="1" applyFill="1" applyBorder="1" applyAlignment="1">
      <alignment horizontal="center" vertical="center"/>
    </xf>
    <xf numFmtId="0" fontId="12" fillId="0" borderId="80" xfId="0" applyNumberFormat="1" applyFont="1" applyFill="1" applyBorder="1" applyAlignment="1">
      <alignment horizontal="center" vertical="center" shrinkToFit="1"/>
    </xf>
    <xf numFmtId="181" fontId="72" fillId="0" borderId="9" xfId="21" applyNumberFormat="1" applyFont="1" applyFill="1" applyBorder="1" applyAlignment="1">
      <alignment horizontal="right" vertical="center"/>
    </xf>
    <xf numFmtId="193" fontId="72" fillId="0" borderId="14" xfId="2" applyNumberFormat="1" applyFont="1" applyFill="1" applyBorder="1" applyAlignment="1">
      <alignment horizontal="right" vertical="center"/>
    </xf>
    <xf numFmtId="177" fontId="72" fillId="23" borderId="9" xfId="2" applyNumberFormat="1" applyFont="1" applyFill="1" applyBorder="1" applyAlignment="1">
      <alignment vertical="center"/>
    </xf>
    <xf numFmtId="0" fontId="72" fillId="23" borderId="9" xfId="21" applyFont="1" applyFill="1" applyBorder="1" applyAlignment="1">
      <alignment horizontal="center" vertical="center"/>
    </xf>
    <xf numFmtId="181" fontId="72" fillId="23" borderId="9" xfId="21" applyNumberFormat="1" applyFont="1" applyFill="1" applyBorder="1" applyAlignment="1">
      <alignment horizontal="right" vertical="center"/>
    </xf>
    <xf numFmtId="180" fontId="72" fillId="23" borderId="9" xfId="21" applyNumberFormat="1" applyFont="1" applyFill="1" applyBorder="1" applyAlignment="1">
      <alignment horizontal="center" vertical="center"/>
    </xf>
    <xf numFmtId="49" fontId="72" fillId="23" borderId="9" xfId="21" applyNumberFormat="1" applyFont="1" applyFill="1" applyBorder="1" applyAlignment="1">
      <alignment horizontal="center" vertical="center"/>
    </xf>
    <xf numFmtId="191" fontId="72" fillId="0" borderId="9" xfId="21" applyNumberFormat="1" applyFont="1" applyFill="1" applyBorder="1" applyAlignment="1">
      <alignment horizontal="right" vertical="center"/>
    </xf>
    <xf numFmtId="189" fontId="72" fillId="0" borderId="9" xfId="21" applyNumberFormat="1" applyFont="1" applyFill="1" applyBorder="1" applyAlignment="1">
      <alignment horizontal="center" vertical="center"/>
    </xf>
    <xf numFmtId="0" fontId="46" fillId="0" borderId="9" xfId="21" applyFont="1" applyFill="1" applyBorder="1" applyAlignment="1">
      <alignment horizontal="center" vertical="center"/>
    </xf>
    <xf numFmtId="177" fontId="72" fillId="14" borderId="25" xfId="2" applyNumberFormat="1" applyFont="1" applyFill="1" applyBorder="1" applyAlignment="1">
      <alignment vertical="center"/>
    </xf>
    <xf numFmtId="0" fontId="72" fillId="14" borderId="25" xfId="21" applyFont="1" applyFill="1" applyBorder="1" applyAlignment="1">
      <alignment horizontal="center" vertical="center"/>
    </xf>
    <xf numFmtId="181" fontId="72" fillId="14" borderId="25" xfId="21" applyNumberFormat="1" applyFont="1" applyFill="1" applyBorder="1" applyAlignment="1">
      <alignment horizontal="right" vertical="center"/>
    </xf>
    <xf numFmtId="180" fontId="72" fillId="14" borderId="25" xfId="21" applyNumberFormat="1" applyFont="1" applyFill="1" applyBorder="1" applyAlignment="1">
      <alignment horizontal="center" vertical="center"/>
    </xf>
    <xf numFmtId="49" fontId="72" fillId="14" borderId="25" xfId="21" applyNumberFormat="1" applyFont="1" applyFill="1" applyBorder="1" applyAlignment="1">
      <alignment horizontal="center" vertical="center"/>
    </xf>
    <xf numFmtId="0" fontId="12" fillId="0" borderId="80" xfId="0" applyFont="1" applyFill="1" applyBorder="1" applyAlignment="1">
      <alignment horizontal="center" vertical="center" shrinkToFit="1"/>
    </xf>
    <xf numFmtId="0" fontId="12" fillId="5" borderId="80" xfId="0" applyFont="1" applyFill="1" applyBorder="1" applyAlignment="1">
      <alignment horizontal="center" vertical="center" shrinkToFit="1"/>
    </xf>
    <xf numFmtId="0" fontId="12" fillId="0" borderId="134" xfId="0" applyNumberFormat="1" applyFont="1" applyFill="1" applyBorder="1" applyAlignment="1">
      <alignment horizontal="center" vertical="center" shrinkToFit="1"/>
    </xf>
    <xf numFmtId="0" fontId="46" fillId="0" borderId="21" xfId="21" applyFont="1" applyFill="1" applyBorder="1" applyAlignment="1">
      <alignment horizontal="center" vertical="center"/>
    </xf>
    <xf numFmtId="49" fontId="72" fillId="0" borderId="21" xfId="21" applyNumberFormat="1" applyFont="1" applyFill="1" applyBorder="1" applyAlignment="1">
      <alignment horizontal="center" vertical="center"/>
    </xf>
    <xf numFmtId="193" fontId="72" fillId="0" borderId="161" xfId="2" applyNumberFormat="1" applyFont="1" applyFill="1" applyBorder="1" applyAlignment="1">
      <alignment horizontal="right" vertical="center"/>
    </xf>
    <xf numFmtId="190" fontId="74" fillId="0" borderId="9" xfId="23" applyNumberFormat="1" applyFont="1" applyFill="1" applyBorder="1" applyAlignment="1">
      <alignment horizontal="right" vertical="center" shrinkToFit="1"/>
    </xf>
    <xf numFmtId="10" fontId="74" fillId="0" borderId="9" xfId="23" applyNumberFormat="1" applyFont="1" applyFill="1" applyBorder="1" applyAlignment="1">
      <alignment horizontal="right" vertical="center" shrinkToFit="1"/>
    </xf>
    <xf numFmtId="0" fontId="12" fillId="5" borderId="87" xfId="1" applyNumberFormat="1" applyFont="1" applyFill="1" applyBorder="1" applyAlignment="1">
      <alignment vertical="center"/>
    </xf>
    <xf numFmtId="0" fontId="12" fillId="5" borderId="87" xfId="0" applyFont="1" applyFill="1" applyBorder="1" applyAlignment="1">
      <alignment vertical="center"/>
    </xf>
    <xf numFmtId="0" fontId="12" fillId="6" borderId="131" xfId="1" applyNumberFormat="1" applyFont="1" applyFill="1" applyBorder="1" applyAlignment="1">
      <alignment vertical="center"/>
    </xf>
    <xf numFmtId="177" fontId="52" fillId="5" borderId="9" xfId="0" applyNumberFormat="1" applyFont="1" applyFill="1" applyBorder="1" applyAlignment="1">
      <alignment vertical="center" shrinkToFit="1"/>
    </xf>
    <xf numFmtId="0" fontId="12" fillId="14" borderId="9" xfId="0" applyNumberFormat="1" applyFont="1" applyFill="1" applyBorder="1" applyAlignment="1">
      <alignment horizontal="center" vertical="center" shrinkToFit="1"/>
    </xf>
    <xf numFmtId="177" fontId="72" fillId="0" borderId="9" xfId="2" applyNumberFormat="1" applyFont="1" applyFill="1" applyBorder="1" applyAlignment="1">
      <alignment horizontal="right" vertical="center"/>
    </xf>
    <xf numFmtId="0" fontId="12" fillId="0" borderId="80" xfId="0" applyFont="1" applyFill="1" applyBorder="1" applyAlignment="1">
      <alignment horizontal="right" vertical="center" shrinkToFit="1"/>
    </xf>
    <xf numFmtId="0" fontId="12" fillId="0" borderId="9" xfId="0" applyFont="1" applyFill="1" applyBorder="1" applyAlignment="1">
      <alignment horizontal="right" vertical="center" shrinkToFit="1"/>
    </xf>
    <xf numFmtId="0" fontId="41" fillId="0" borderId="46" xfId="0" applyFont="1" applyBorder="1" applyAlignment="1">
      <alignment vertical="center"/>
    </xf>
    <xf numFmtId="41" fontId="12" fillId="0" borderId="14" xfId="1" applyFont="1" applyBorder="1" applyAlignment="1">
      <alignment vertical="center" shrinkToFit="1"/>
    </xf>
    <xf numFmtId="42" fontId="18" fillId="0" borderId="22" xfId="16" applyFont="1" applyFill="1" applyBorder="1" applyAlignment="1">
      <alignment horizontal="center" vertical="center"/>
    </xf>
    <xf numFmtId="176" fontId="42" fillId="0" borderId="46" xfId="1" applyNumberFormat="1" applyFont="1" applyBorder="1" applyAlignment="1">
      <alignment vertical="center"/>
    </xf>
    <xf numFmtId="193" fontId="77" fillId="5" borderId="14" xfId="1" applyNumberFormat="1" applyFont="1" applyFill="1" applyBorder="1" applyAlignment="1">
      <alignment vertical="center"/>
    </xf>
    <xf numFmtId="193" fontId="77" fillId="6" borderId="14" xfId="1" applyNumberFormat="1" applyFont="1" applyFill="1" applyBorder="1" applyAlignment="1">
      <alignment vertical="center"/>
    </xf>
    <xf numFmtId="193" fontId="77" fillId="5" borderId="14" xfId="0" applyNumberFormat="1" applyFont="1" applyFill="1" applyBorder="1" applyAlignment="1">
      <alignment vertical="center" shrinkToFit="1"/>
    </xf>
    <xf numFmtId="193" fontId="77" fillId="6" borderId="14" xfId="0" applyNumberFormat="1" applyFont="1" applyFill="1" applyBorder="1" applyAlignment="1">
      <alignment vertical="center" shrinkToFit="1"/>
    </xf>
    <xf numFmtId="193" fontId="77" fillId="6" borderId="14" xfId="0" applyNumberFormat="1" applyFont="1" applyFill="1" applyBorder="1" applyAlignment="1">
      <alignment vertical="center"/>
    </xf>
    <xf numFmtId="193" fontId="77" fillId="5" borderId="14" xfId="0" applyNumberFormat="1" applyFont="1" applyFill="1" applyBorder="1" applyAlignment="1">
      <alignment vertical="center"/>
    </xf>
    <xf numFmtId="193" fontId="78" fillId="14" borderId="35" xfId="2" applyNumberFormat="1" applyFont="1" applyFill="1" applyBorder="1" applyAlignment="1">
      <alignment horizontal="right" vertical="center"/>
    </xf>
    <xf numFmtId="193" fontId="78" fillId="14" borderId="14" xfId="2" applyNumberFormat="1" applyFont="1" applyFill="1" applyBorder="1" applyAlignment="1">
      <alignment horizontal="right" vertical="center"/>
    </xf>
    <xf numFmtId="193" fontId="77" fillId="5" borderId="160" xfId="0" applyNumberFormat="1" applyFont="1" applyFill="1" applyBorder="1" applyAlignment="1">
      <alignment vertical="center"/>
    </xf>
    <xf numFmtId="193" fontId="77" fillId="6" borderId="159" xfId="0" applyNumberFormat="1" applyFont="1" applyFill="1" applyBorder="1" applyAlignment="1">
      <alignment vertical="center"/>
    </xf>
    <xf numFmtId="193" fontId="79" fillId="0" borderId="45" xfId="0" applyNumberFormat="1" applyFont="1" applyBorder="1" applyAlignment="1">
      <alignment vertical="center"/>
    </xf>
    <xf numFmtId="10" fontId="74" fillId="14" borderId="9" xfId="23" applyNumberFormat="1" applyFont="1" applyFill="1" applyBorder="1" applyAlignment="1">
      <alignment horizontal="right" vertical="center" shrinkToFit="1"/>
    </xf>
    <xf numFmtId="193" fontId="77" fillId="14" borderId="14" xfId="0" applyNumberFormat="1" applyFont="1" applyFill="1" applyBorder="1" applyAlignment="1">
      <alignment vertical="center" shrinkToFit="1"/>
    </xf>
    <xf numFmtId="0" fontId="12" fillId="6" borderId="80" xfId="0" applyNumberFormat="1" applyFont="1" applyFill="1" applyBorder="1" applyAlignment="1">
      <alignment horizontal="center" vertical="center" shrinkToFit="1"/>
    </xf>
    <xf numFmtId="0" fontId="12" fillId="5" borderId="80" xfId="0" applyNumberFormat="1" applyFont="1" applyFill="1" applyBorder="1" applyAlignment="1">
      <alignment horizontal="center" vertical="center" shrinkToFit="1"/>
    </xf>
    <xf numFmtId="41" fontId="46" fillId="14" borderId="6" xfId="1" applyFont="1" applyFill="1" applyBorder="1" applyAlignment="1">
      <alignment horizontal="center" vertical="center" shrinkToFit="1"/>
    </xf>
    <xf numFmtId="189" fontId="72" fillId="14" borderId="9" xfId="21" applyNumberFormat="1" applyFont="1" applyFill="1" applyBorder="1" applyAlignment="1">
      <alignment horizontal="center" vertical="center"/>
    </xf>
    <xf numFmtId="193" fontId="77" fillId="14" borderId="14" xfId="1" applyNumberFormat="1" applyFont="1" applyFill="1" applyBorder="1" applyAlignment="1">
      <alignment vertical="center" shrinkToFit="1"/>
    </xf>
    <xf numFmtId="0" fontId="12" fillId="14" borderId="9" xfId="0" applyFont="1" applyFill="1" applyBorder="1" applyAlignment="1">
      <alignment vertical="center" shrinkToFit="1"/>
    </xf>
    <xf numFmtId="182" fontId="12" fillId="14" borderId="9" xfId="0" applyNumberFormat="1" applyFont="1" applyFill="1" applyBorder="1" applyAlignment="1">
      <alignment vertical="center" shrinkToFit="1"/>
    </xf>
    <xf numFmtId="180" fontId="12" fillId="14" borderId="9" xfId="0" applyNumberFormat="1" applyFont="1" applyFill="1" applyBorder="1" applyAlignment="1">
      <alignment vertical="center" shrinkToFit="1"/>
    </xf>
    <xf numFmtId="181" fontId="12" fillId="14" borderId="9" xfId="0" applyNumberFormat="1" applyFont="1" applyFill="1" applyBorder="1" applyAlignment="1">
      <alignment vertical="center" shrinkToFit="1"/>
    </xf>
    <xf numFmtId="0" fontId="42" fillId="0" borderId="0" xfId="0" applyNumberFormat="1" applyFont="1" applyBorder="1" applyAlignment="1">
      <alignment horizontal="center" vertical="center" shrinkToFit="1"/>
    </xf>
    <xf numFmtId="0" fontId="45" fillId="0" borderId="22" xfId="1" applyNumberFormat="1" applyFont="1" applyBorder="1" applyAlignment="1">
      <alignment horizontal="center" vertical="center" shrinkToFit="1"/>
    </xf>
    <xf numFmtId="0" fontId="42" fillId="6" borderId="9" xfId="0" applyNumberFormat="1" applyFont="1" applyFill="1" applyBorder="1" applyAlignment="1">
      <alignment horizontal="center" vertical="center" shrinkToFit="1"/>
    </xf>
    <xf numFmtId="0" fontId="42" fillId="5" borderId="9" xfId="0" applyNumberFormat="1" applyFont="1" applyFill="1" applyBorder="1" applyAlignment="1">
      <alignment horizontal="center" vertical="center" shrinkToFit="1"/>
    </xf>
    <xf numFmtId="0" fontId="42" fillId="0" borderId="0" xfId="0" applyNumberFormat="1" applyFont="1" applyFill="1" applyBorder="1" applyAlignment="1">
      <alignment horizontal="center" vertical="center" shrinkToFit="1"/>
    </xf>
    <xf numFmtId="177" fontId="12" fillId="5" borderId="80" xfId="0" applyNumberFormat="1" applyFont="1" applyFill="1" applyBorder="1" applyAlignment="1">
      <alignment vertical="center" shrinkToFit="1"/>
    </xf>
    <xf numFmtId="176" fontId="12" fillId="0" borderId="46" xfId="1" applyNumberFormat="1" applyFont="1" applyBorder="1" applyAlignment="1">
      <alignment horizontal="center" vertical="center" shrinkToFit="1"/>
    </xf>
    <xf numFmtId="0" fontId="12" fillId="6" borderId="131" xfId="1" applyNumberFormat="1" applyFont="1" applyFill="1" applyBorder="1" applyAlignment="1">
      <alignment horizontal="center" vertical="center" shrinkToFit="1"/>
    </xf>
    <xf numFmtId="177" fontId="12" fillId="5" borderId="87" xfId="1" applyNumberFormat="1" applyFont="1" applyFill="1" applyBorder="1" applyAlignment="1">
      <alignment horizontal="center" vertical="center" shrinkToFit="1"/>
    </xf>
    <xf numFmtId="193" fontId="73" fillId="23" borderId="14" xfId="2" applyNumberFormat="1" applyFont="1" applyFill="1" applyBorder="1" applyAlignment="1">
      <alignment horizontal="right" vertical="center"/>
    </xf>
    <xf numFmtId="41" fontId="12" fillId="14" borderId="9" xfId="1" applyFont="1" applyFill="1" applyBorder="1" applyAlignment="1">
      <alignment vertical="center"/>
    </xf>
    <xf numFmtId="193" fontId="77" fillId="14" borderId="14" xfId="1" applyNumberFormat="1" applyFont="1" applyFill="1" applyBorder="1" applyAlignment="1">
      <alignment vertical="center"/>
    </xf>
    <xf numFmtId="187" fontId="12" fillId="6" borderId="33" xfId="1" applyNumberFormat="1" applyFont="1" applyFill="1" applyBorder="1" applyAlignment="1">
      <alignment horizontal="right" vertical="center" shrinkToFit="1"/>
    </xf>
    <xf numFmtId="187" fontId="12" fillId="5" borderId="33" xfId="1" applyNumberFormat="1" applyFont="1" applyFill="1" applyBorder="1" applyAlignment="1">
      <alignment horizontal="right" vertical="center" shrinkToFit="1"/>
    </xf>
    <xf numFmtId="41" fontId="12" fillId="0" borderId="13" xfId="1" applyFont="1" applyFill="1" applyBorder="1" applyAlignment="1">
      <alignment horizontal="center" vertical="center"/>
    </xf>
    <xf numFmtId="41" fontId="12" fillId="5" borderId="6" xfId="1" applyFont="1" applyFill="1" applyBorder="1" applyAlignment="1">
      <alignment vertical="center"/>
    </xf>
    <xf numFmtId="41" fontId="12" fillId="6" borderId="13" xfId="1" applyFont="1" applyFill="1" applyBorder="1" applyAlignment="1">
      <alignment horizontal="center" vertical="center"/>
    </xf>
    <xf numFmtId="0" fontId="12" fillId="14" borderId="80" xfId="0" applyNumberFormat="1" applyFont="1" applyFill="1" applyBorder="1" applyAlignment="1">
      <alignment horizontal="left" vertical="center" shrinkToFit="1"/>
    </xf>
    <xf numFmtId="193" fontId="12" fillId="14" borderId="14" xfId="0" applyNumberFormat="1" applyFont="1" applyFill="1" applyBorder="1" applyAlignment="1">
      <alignment vertical="center" shrinkToFit="1"/>
    </xf>
    <xf numFmtId="3" fontId="12" fillId="14" borderId="9" xfId="1" applyNumberFormat="1" applyFont="1" applyFill="1" applyBorder="1" applyAlignment="1">
      <alignment horizontal="center" vertical="center" shrinkToFit="1"/>
    </xf>
    <xf numFmtId="176" fontId="12" fillId="14" borderId="13" xfId="0" applyNumberFormat="1" applyFont="1" applyFill="1" applyBorder="1" applyAlignment="1">
      <alignment vertical="center" shrinkToFit="1"/>
    </xf>
    <xf numFmtId="176" fontId="12" fillId="14" borderId="6" xfId="0" applyNumberFormat="1" applyFont="1" applyFill="1" applyBorder="1" applyAlignment="1">
      <alignment vertical="center" shrinkToFit="1"/>
    </xf>
    <xf numFmtId="176" fontId="12" fillId="14" borderId="33" xfId="0" applyNumberFormat="1" applyFont="1" applyFill="1" applyBorder="1" applyAlignment="1">
      <alignment vertical="center" shrinkToFit="1"/>
    </xf>
    <xf numFmtId="3" fontId="12" fillId="14" borderId="80" xfId="1" applyNumberFormat="1" applyFont="1" applyFill="1" applyBorder="1" applyAlignment="1">
      <alignment horizontal="left" vertical="center" shrinkToFit="1"/>
    </xf>
    <xf numFmtId="3" fontId="12" fillId="14" borderId="80" xfId="11" applyNumberFormat="1" applyFont="1" applyFill="1" applyBorder="1" applyAlignment="1">
      <alignment horizontal="left" vertical="center" shrinkToFit="1"/>
    </xf>
    <xf numFmtId="3" fontId="12" fillId="14" borderId="9" xfId="11" applyNumberFormat="1" applyFont="1" applyFill="1" applyBorder="1" applyAlignment="1">
      <alignment horizontal="center" vertical="center" shrinkToFit="1"/>
    </xf>
    <xf numFmtId="3" fontId="12" fillId="5" borderId="80" xfId="2" applyNumberFormat="1" applyFont="1" applyFill="1" applyBorder="1" applyAlignment="1">
      <alignment horizontal="center" vertical="center" shrinkToFit="1"/>
    </xf>
    <xf numFmtId="41" fontId="12" fillId="0" borderId="0" xfId="1" applyFont="1" applyBorder="1" applyAlignment="1">
      <alignment horizontal="right" vertical="center" shrinkToFit="1"/>
    </xf>
    <xf numFmtId="41" fontId="12" fillId="0" borderId="0" xfId="1" applyFont="1" applyFill="1" applyBorder="1" applyAlignment="1">
      <alignment horizontal="right" vertical="center" shrinkToFit="1"/>
    </xf>
    <xf numFmtId="187" fontId="12" fillId="0" borderId="0" xfId="1" applyNumberFormat="1" applyFont="1" applyBorder="1" applyAlignment="1">
      <alignment horizontal="right" vertical="center" shrinkToFit="1"/>
    </xf>
    <xf numFmtId="41" fontId="12" fillId="0" borderId="0" xfId="0" applyNumberFormat="1" applyFont="1" applyFill="1" applyBorder="1" applyAlignment="1">
      <alignment horizontal="left" vertical="center" shrinkToFit="1"/>
    </xf>
    <xf numFmtId="41" fontId="12" fillId="0" borderId="0" xfId="0" applyNumberFormat="1" applyFont="1" applyFill="1" applyBorder="1" applyAlignment="1">
      <alignment horizontal="center" vertical="center" shrinkToFit="1"/>
    </xf>
    <xf numFmtId="182" fontId="12" fillId="0" borderId="0" xfId="0" applyNumberFormat="1" applyFont="1" applyBorder="1" applyAlignment="1">
      <alignment vertical="center" shrinkToFit="1"/>
    </xf>
    <xf numFmtId="0" fontId="12" fillId="0" borderId="0" xfId="0" applyFont="1" applyBorder="1" applyAlignment="1">
      <alignment vertical="center" shrinkToFit="1"/>
    </xf>
    <xf numFmtId="180" fontId="12" fillId="0" borderId="0" xfId="0" applyNumberFormat="1" applyFont="1" applyBorder="1" applyAlignment="1">
      <alignment vertical="center" shrinkToFit="1"/>
    </xf>
    <xf numFmtId="181" fontId="12" fillId="0" borderId="0" xfId="0" applyNumberFormat="1" applyFont="1" applyBorder="1" applyAlignment="1">
      <alignment vertical="center" shrinkToFit="1"/>
    </xf>
    <xf numFmtId="193" fontId="12" fillId="0" borderId="0" xfId="0" applyNumberFormat="1" applyFont="1" applyBorder="1" applyAlignment="1">
      <alignment vertical="center" shrinkToFit="1"/>
    </xf>
    <xf numFmtId="41" fontId="12" fillId="0" borderId="24" xfId="1" applyFont="1" applyBorder="1" applyAlignment="1">
      <alignment vertical="center" shrinkToFit="1"/>
    </xf>
    <xf numFmtId="0" fontId="72" fillId="0" borderId="84" xfId="21" applyFont="1" applyFill="1" applyBorder="1" applyAlignment="1">
      <alignment horizontal="center" vertical="center"/>
    </xf>
    <xf numFmtId="49" fontId="72" fillId="0" borderId="84" xfId="21" applyNumberFormat="1" applyFont="1" applyFill="1" applyBorder="1" applyAlignment="1">
      <alignment horizontal="center" vertical="center"/>
    </xf>
    <xf numFmtId="41" fontId="12" fillId="14" borderId="6" xfId="1" applyFont="1" applyFill="1" applyBorder="1" applyAlignment="1">
      <alignment vertical="center"/>
    </xf>
    <xf numFmtId="41" fontId="12" fillId="14" borderId="9" xfId="0" applyNumberFormat="1" applyFont="1" applyFill="1" applyBorder="1" applyAlignment="1">
      <alignment horizontal="center" vertical="center" shrinkToFit="1"/>
    </xf>
    <xf numFmtId="41" fontId="12" fillId="14" borderId="9" xfId="0" applyNumberFormat="1" applyFont="1" applyFill="1" applyBorder="1" applyAlignment="1">
      <alignment horizontal="center" vertical="center"/>
    </xf>
    <xf numFmtId="41" fontId="12" fillId="14" borderId="9" xfId="0" applyNumberFormat="1" applyFont="1" applyFill="1" applyBorder="1" applyAlignment="1">
      <alignment horizontal="left" vertical="center" shrinkToFit="1"/>
    </xf>
    <xf numFmtId="189" fontId="72" fillId="0" borderId="84" xfId="21" applyNumberFormat="1" applyFont="1" applyFill="1" applyBorder="1" applyAlignment="1">
      <alignment horizontal="center" vertical="center"/>
    </xf>
    <xf numFmtId="176" fontId="12" fillId="0" borderId="33" xfId="0" applyNumberFormat="1" applyFont="1" applyBorder="1" applyAlignment="1">
      <alignment vertical="center" shrinkToFit="1"/>
    </xf>
    <xf numFmtId="176" fontId="12" fillId="0" borderId="81" xfId="0" applyNumberFormat="1" applyFont="1" applyBorder="1" applyAlignment="1">
      <alignment vertical="center" shrinkToFit="1"/>
    </xf>
    <xf numFmtId="176" fontId="12" fillId="0" borderId="82" xfId="0" applyNumberFormat="1" applyFont="1" applyBorder="1" applyAlignment="1">
      <alignment vertical="center" shrinkToFit="1"/>
    </xf>
    <xf numFmtId="176" fontId="12" fillId="0" borderId="67" xfId="0" applyNumberFormat="1" applyFont="1" applyBorder="1" applyAlignment="1">
      <alignment vertical="center" shrinkToFit="1"/>
    </xf>
    <xf numFmtId="0" fontId="41" fillId="0" borderId="13" xfId="0" applyFont="1" applyBorder="1" applyAlignment="1">
      <alignment horizontal="center" vertical="center"/>
    </xf>
    <xf numFmtId="0" fontId="41" fillId="0" borderId="6" xfId="0" applyFont="1" applyBorder="1" applyAlignment="1">
      <alignment horizontal="center" vertical="center"/>
    </xf>
    <xf numFmtId="0" fontId="41" fillId="0" borderId="6" xfId="0" applyFont="1" applyBorder="1" applyAlignment="1">
      <alignment horizontal="center" vertical="center" shrinkToFit="1"/>
    </xf>
    <xf numFmtId="176" fontId="41" fillId="0" borderId="6" xfId="0" applyNumberFormat="1" applyFont="1" applyBorder="1" applyAlignment="1">
      <alignment horizontal="center" vertical="center"/>
    </xf>
    <xf numFmtId="0" fontId="41" fillId="0" borderId="81" xfId="0" applyFont="1" applyBorder="1" applyAlignment="1">
      <alignment horizontal="center" vertical="center"/>
    </xf>
    <xf numFmtId="0" fontId="41" fillId="0" borderId="82" xfId="0" applyFont="1" applyBorder="1" applyAlignment="1">
      <alignment horizontal="center" vertical="center"/>
    </xf>
    <xf numFmtId="0" fontId="41" fillId="0" borderId="82" xfId="0" applyFont="1" applyBorder="1" applyAlignment="1">
      <alignment horizontal="center" vertical="center" shrinkToFit="1"/>
    </xf>
    <xf numFmtId="176" fontId="41" fillId="0" borderId="82" xfId="0" applyNumberFormat="1" applyFont="1" applyBorder="1" applyAlignment="1">
      <alignment horizontal="center" vertical="center"/>
    </xf>
    <xf numFmtId="0" fontId="12" fillId="0" borderId="82" xfId="0" applyFont="1" applyBorder="1" applyAlignment="1">
      <alignment vertical="center"/>
    </xf>
    <xf numFmtId="176" fontId="12" fillId="0" borderId="82" xfId="0" applyNumberFormat="1" applyFont="1" applyBorder="1" applyAlignment="1">
      <alignment horizontal="right" vertical="center"/>
    </xf>
    <xf numFmtId="0" fontId="12" fillId="6" borderId="6" xfId="0" applyFont="1" applyFill="1" applyBorder="1" applyAlignment="1">
      <alignment horizontal="center" vertical="center" shrinkToFit="1"/>
    </xf>
    <xf numFmtId="0" fontId="0" fillId="0" borderId="22" xfId="0" applyBorder="1" applyAlignment="1">
      <alignment horizontal="center" vertical="center"/>
    </xf>
    <xf numFmtId="0" fontId="0" fillId="0" borderId="22" xfId="0" applyBorder="1" applyAlignment="1">
      <alignment vertical="center"/>
    </xf>
    <xf numFmtId="41" fontId="80" fillId="12" borderId="69" xfId="0" applyNumberFormat="1" applyFont="1" applyFill="1" applyBorder="1" applyAlignment="1">
      <alignment horizontal="center" vertical="center"/>
    </xf>
    <xf numFmtId="0" fontId="12" fillId="0" borderId="81" xfId="0" applyFont="1" applyBorder="1" applyAlignment="1">
      <alignment horizontal="center" vertical="center" shrinkToFit="1"/>
    </xf>
    <xf numFmtId="0" fontId="12" fillId="0" borderId="82" xfId="0" applyFont="1" applyBorder="1" applyAlignment="1">
      <alignment horizontal="center" vertical="center" shrinkToFit="1"/>
    </xf>
    <xf numFmtId="176" fontId="12" fillId="0" borderId="162" xfId="0" applyNumberFormat="1" applyFont="1" applyBorder="1" applyAlignment="1">
      <alignment horizontal="right" vertical="center" shrinkToFit="1"/>
    </xf>
    <xf numFmtId="0" fontId="12" fillId="0" borderId="20" xfId="0" applyFont="1" applyBorder="1" applyAlignment="1">
      <alignment horizontal="center" vertical="center" shrinkToFit="1"/>
    </xf>
    <xf numFmtId="0" fontId="12" fillId="0" borderId="5" xfId="0" applyFont="1" applyBorder="1" applyAlignment="1">
      <alignment horizontal="center" vertical="center" shrinkToFit="1"/>
    </xf>
    <xf numFmtId="176" fontId="12" fillId="0" borderId="5" xfId="0" applyNumberFormat="1" applyFont="1" applyBorder="1" applyAlignment="1">
      <alignment vertical="center" shrinkToFit="1"/>
    </xf>
    <xf numFmtId="176" fontId="12" fillId="0" borderId="100" xfId="0" applyNumberFormat="1" applyFont="1" applyBorder="1" applyAlignment="1">
      <alignment horizontal="right" vertical="center" shrinkToFit="1"/>
    </xf>
    <xf numFmtId="0" fontId="12" fillId="0" borderId="6" xfId="0" applyFont="1" applyBorder="1" applyAlignment="1">
      <alignment horizontal="distributed" vertical="center" shrinkToFit="1"/>
    </xf>
    <xf numFmtId="0" fontId="12" fillId="0" borderId="6" xfId="0" applyFont="1" applyBorder="1" applyAlignment="1">
      <alignment horizontal="distributed" vertical="justify"/>
    </xf>
    <xf numFmtId="41" fontId="12" fillId="0" borderId="82" xfId="1" applyFont="1" applyFill="1" applyBorder="1" applyAlignment="1">
      <alignment horizontal="distributed" vertical="center" shrinkToFit="1"/>
    </xf>
    <xf numFmtId="41" fontId="12" fillId="0" borderId="6" xfId="1" applyFont="1" applyFill="1" applyBorder="1" applyAlignment="1">
      <alignment horizontal="distributed" vertical="center" shrinkToFit="1"/>
    </xf>
    <xf numFmtId="41" fontId="46" fillId="0" borderId="6" xfId="1" applyFont="1" applyFill="1" applyBorder="1" applyAlignment="1">
      <alignment horizontal="distributed" vertical="center" shrinkToFit="1"/>
    </xf>
    <xf numFmtId="176" fontId="12" fillId="0" borderId="6" xfId="0" applyNumberFormat="1" applyFont="1" applyFill="1" applyBorder="1" applyAlignment="1">
      <alignment vertical="center"/>
    </xf>
    <xf numFmtId="0" fontId="12" fillId="6" borderId="6" xfId="0" applyFont="1" applyFill="1" applyBorder="1" applyAlignment="1">
      <alignment horizontal="center" vertical="center" shrinkToFit="1"/>
    </xf>
    <xf numFmtId="185" fontId="56" fillId="6" borderId="66" xfId="0" applyNumberFormat="1" applyFont="1" applyFill="1" applyBorder="1" applyAlignment="1">
      <alignment horizontal="center" vertical="center" shrinkToFit="1"/>
    </xf>
    <xf numFmtId="185" fontId="56" fillId="7" borderId="66" xfId="0" applyNumberFormat="1" applyFont="1" applyFill="1" applyBorder="1" applyAlignment="1">
      <alignment horizontal="center" vertical="center" shrinkToFit="1"/>
    </xf>
    <xf numFmtId="188" fontId="56" fillId="0" borderId="6" xfId="0" applyNumberFormat="1" applyFont="1" applyFill="1" applyBorder="1" applyAlignment="1">
      <alignment horizontal="center" vertical="center" shrinkToFit="1"/>
    </xf>
    <xf numFmtId="185" fontId="56" fillId="0" borderId="66" xfId="0" applyNumberFormat="1" applyFont="1" applyBorder="1" applyAlignment="1">
      <alignment horizontal="center" vertical="center" shrinkToFit="1"/>
    </xf>
    <xf numFmtId="0" fontId="8" fillId="0" borderId="6" xfId="0" applyFont="1" applyBorder="1" applyAlignment="1">
      <alignment vertical="center"/>
    </xf>
    <xf numFmtId="0" fontId="8" fillId="0" borderId="66" xfId="0" applyFont="1" applyBorder="1" applyAlignment="1">
      <alignment vertical="center"/>
    </xf>
    <xf numFmtId="184" fontId="52" fillId="0" borderId="164" xfId="0" applyNumberFormat="1" applyFont="1" applyBorder="1" applyAlignment="1">
      <alignment horizontal="center" vertical="center" shrinkToFit="1"/>
    </xf>
    <xf numFmtId="185" fontId="64" fillId="6" borderId="165" xfId="0" applyNumberFormat="1" applyFont="1" applyFill="1" applyBorder="1" applyAlignment="1">
      <alignment horizontal="center" vertical="center" shrinkToFit="1"/>
    </xf>
    <xf numFmtId="185" fontId="56" fillId="7" borderId="163" xfId="0" applyNumberFormat="1" applyFont="1" applyFill="1" applyBorder="1" applyAlignment="1">
      <alignment horizontal="center" vertical="center" shrinkToFit="1"/>
    </xf>
    <xf numFmtId="185" fontId="56" fillId="0" borderId="163" xfId="0" applyNumberFormat="1" applyFont="1" applyBorder="1" applyAlignment="1">
      <alignment horizontal="center" vertical="center" shrinkToFit="1"/>
    </xf>
    <xf numFmtId="185" fontId="56" fillId="6" borderId="163" xfId="0" applyNumberFormat="1" applyFont="1" applyFill="1" applyBorder="1" applyAlignment="1">
      <alignment horizontal="center" vertical="center" shrinkToFit="1"/>
    </xf>
    <xf numFmtId="0" fontId="12" fillId="0" borderId="166" xfId="0" applyFont="1" applyBorder="1" applyAlignment="1">
      <alignment vertical="center" wrapText="1" shrinkToFit="1"/>
    </xf>
    <xf numFmtId="0" fontId="8" fillId="0" borderId="104" xfId="0" applyFont="1" applyBorder="1" applyAlignment="1">
      <alignment vertical="center"/>
    </xf>
    <xf numFmtId="0" fontId="8" fillId="0" borderId="167" xfId="0" applyFont="1" applyBorder="1" applyAlignment="1">
      <alignment vertical="center"/>
    </xf>
    <xf numFmtId="0" fontId="8" fillId="0" borderId="13" xfId="0" applyFont="1" applyBorder="1" applyAlignment="1">
      <alignment vertical="center"/>
    </xf>
    <xf numFmtId="185" fontId="56" fillId="0" borderId="168" xfId="0" applyNumberFormat="1" applyFont="1" applyBorder="1" applyAlignment="1">
      <alignment horizontal="center" vertical="center" shrinkToFit="1"/>
    </xf>
    <xf numFmtId="0" fontId="44" fillId="0" borderId="0" xfId="0" applyFont="1" applyAlignment="1">
      <alignment horizontal="center" vertical="center"/>
    </xf>
    <xf numFmtId="176" fontId="41" fillId="0" borderId="0" xfId="19" applyNumberFormat="1" applyFont="1" applyAlignment="1">
      <alignment vertical="center" shrinkToFit="1"/>
    </xf>
    <xf numFmtId="176" fontId="41" fillId="0" borderId="0" xfId="19" applyNumberFormat="1" applyFont="1" applyAlignment="1">
      <alignment horizontal="left" vertical="center" shrinkToFit="1"/>
    </xf>
    <xf numFmtId="0" fontId="12" fillId="0" borderId="49" xfId="0" applyFont="1" applyBorder="1" applyAlignment="1">
      <alignment horizontal="center" vertical="center" wrapText="1"/>
    </xf>
    <xf numFmtId="0" fontId="12" fillId="0" borderId="50" xfId="0" applyFont="1" applyBorder="1" applyAlignment="1">
      <alignment horizontal="center" vertical="center" wrapText="1"/>
    </xf>
    <xf numFmtId="0" fontId="12" fillId="0" borderId="55" xfId="0" applyFont="1" applyBorder="1" applyAlignment="1">
      <alignment horizontal="center" vertical="center" wrapText="1"/>
    </xf>
    <xf numFmtId="0" fontId="12" fillId="0" borderId="72" xfId="0" applyFont="1" applyBorder="1" applyAlignment="1">
      <alignment horizontal="center" vertical="center" wrapText="1"/>
    </xf>
    <xf numFmtId="41" fontId="57" fillId="0" borderId="0" xfId="1" applyFont="1" applyBorder="1" applyAlignment="1">
      <alignment horizontal="center" vertical="center"/>
    </xf>
    <xf numFmtId="0" fontId="56" fillId="0" borderId="22" xfId="0" applyFont="1" applyBorder="1" applyAlignment="1">
      <alignment horizontal="right" vertical="center"/>
    </xf>
    <xf numFmtId="41" fontId="57" fillId="0" borderId="53" xfId="1" applyFont="1" applyBorder="1" applyAlignment="1">
      <alignment horizontal="center" vertical="center"/>
    </xf>
    <xf numFmtId="0" fontId="58" fillId="0" borderId="2" xfId="0" applyFont="1" applyBorder="1" applyAlignment="1">
      <alignment horizontal="center" vertical="center"/>
    </xf>
    <xf numFmtId="0" fontId="41" fillId="0" borderId="54" xfId="0" applyFont="1" applyBorder="1" applyAlignment="1">
      <alignment horizontal="center" vertical="center"/>
    </xf>
    <xf numFmtId="0" fontId="12" fillId="0" borderId="56" xfId="0" applyFont="1" applyBorder="1" applyAlignment="1">
      <alignment horizontal="center" vertical="center"/>
    </xf>
    <xf numFmtId="0" fontId="12" fillId="0" borderId="48" xfId="0" applyFont="1" applyBorder="1" applyAlignment="1">
      <alignment horizontal="center" vertical="center"/>
    </xf>
    <xf numFmtId="41" fontId="57" fillId="0" borderId="58" xfId="1" applyFont="1" applyBorder="1" applyAlignment="1">
      <alignment horizontal="center" vertical="center"/>
    </xf>
    <xf numFmtId="0" fontId="41" fillId="0" borderId="2" xfId="0" applyFont="1" applyBorder="1" applyAlignment="1">
      <alignment horizontal="center" vertical="center"/>
    </xf>
    <xf numFmtId="0" fontId="41" fillId="0" borderId="59" xfId="0" applyFont="1" applyBorder="1" applyAlignment="1">
      <alignment horizontal="center" vertical="center"/>
    </xf>
    <xf numFmtId="0" fontId="12" fillId="0" borderId="57" xfId="0" applyFont="1" applyBorder="1" applyAlignment="1">
      <alignment horizontal="center" vertical="center" wrapText="1"/>
    </xf>
    <xf numFmtId="0" fontId="12" fillId="0" borderId="77" xfId="0" applyFont="1" applyBorder="1" applyAlignment="1">
      <alignment horizontal="center" vertical="center" wrapText="1"/>
    </xf>
    <xf numFmtId="0" fontId="12" fillId="0" borderId="47" xfId="0" applyFont="1" applyBorder="1" applyAlignment="1">
      <alignment horizontal="center" vertical="center"/>
    </xf>
    <xf numFmtId="0" fontId="12" fillId="6" borderId="11" xfId="0" applyFont="1" applyFill="1" applyBorder="1" applyAlignment="1">
      <alignment horizontal="center" vertical="center" shrinkToFit="1"/>
    </xf>
    <xf numFmtId="0" fontId="12" fillId="6" borderId="6" xfId="0" applyFont="1" applyFill="1" applyBorder="1" applyAlignment="1">
      <alignment horizontal="center" vertical="center" shrinkToFit="1"/>
    </xf>
    <xf numFmtId="0" fontId="52" fillId="0" borderId="51" xfId="0" applyFont="1" applyBorder="1" applyAlignment="1">
      <alignment horizontal="center" vertical="center" shrinkToFit="1"/>
    </xf>
    <xf numFmtId="0" fontId="52" fillId="0" borderId="10" xfId="0" applyFont="1" applyBorder="1" applyAlignment="1">
      <alignment horizontal="center" vertical="center" shrinkToFit="1"/>
    </xf>
    <xf numFmtId="0" fontId="52" fillId="0" borderId="52" xfId="0" applyFont="1" applyBorder="1" applyAlignment="1">
      <alignment horizontal="center" vertical="center"/>
    </xf>
    <xf numFmtId="0" fontId="52" fillId="0" borderId="10" xfId="0" applyFont="1" applyBorder="1" applyAlignment="1">
      <alignment horizontal="center" vertical="center"/>
    </xf>
    <xf numFmtId="3" fontId="42" fillId="0" borderId="8" xfId="1" applyNumberFormat="1" applyFont="1" applyBorder="1" applyAlignment="1">
      <alignment horizontal="center" vertical="center" shrinkToFit="1"/>
    </xf>
    <xf numFmtId="3" fontId="42" fillId="0" borderId="9" xfId="1" applyNumberFormat="1" applyFont="1" applyBorder="1" applyAlignment="1">
      <alignment horizontal="center" vertical="center" shrinkToFit="1"/>
    </xf>
    <xf numFmtId="3" fontId="42" fillId="0" borderId="14" xfId="1" applyNumberFormat="1" applyFont="1" applyBorder="1" applyAlignment="1">
      <alignment horizontal="center" vertical="center" shrinkToFit="1"/>
    </xf>
    <xf numFmtId="3" fontId="42" fillId="0" borderId="8" xfId="1" applyNumberFormat="1" applyFont="1" applyFill="1" applyBorder="1" applyAlignment="1">
      <alignment horizontal="left" vertical="center" wrapText="1" shrinkToFit="1"/>
    </xf>
    <xf numFmtId="3" fontId="42" fillId="0" borderId="9" xfId="1" applyNumberFormat="1" applyFont="1" applyFill="1" applyBorder="1" applyAlignment="1">
      <alignment horizontal="left" vertical="center" shrinkToFit="1"/>
    </xf>
    <xf numFmtId="3" fontId="42" fillId="0" borderId="14" xfId="1" applyNumberFormat="1" applyFont="1" applyFill="1" applyBorder="1" applyAlignment="1">
      <alignment horizontal="left" vertical="center" shrinkToFit="1"/>
    </xf>
    <xf numFmtId="0" fontId="42" fillId="0" borderId="8" xfId="0" applyFont="1" applyBorder="1" applyAlignment="1">
      <alignment horizontal="center" vertical="center"/>
    </xf>
    <xf numFmtId="0" fontId="42" fillId="0" borderId="9" xfId="0" applyFont="1" applyBorder="1" applyAlignment="1">
      <alignment horizontal="center" vertical="center"/>
    </xf>
    <xf numFmtId="0" fontId="42" fillId="0" borderId="14" xfId="0" applyFont="1" applyBorder="1" applyAlignment="1">
      <alignment horizontal="center" vertical="center"/>
    </xf>
    <xf numFmtId="0" fontId="42" fillId="0" borderId="83" xfId="0" applyFont="1" applyBorder="1" applyAlignment="1">
      <alignment horizontal="left" vertical="center" wrapText="1"/>
    </xf>
    <xf numFmtId="0" fontId="42" fillId="0" borderId="84" xfId="0" applyFont="1" applyBorder="1" applyAlignment="1">
      <alignment horizontal="left" vertical="center"/>
    </xf>
    <xf numFmtId="0" fontId="42" fillId="0" borderId="24" xfId="0" applyFont="1" applyBorder="1" applyAlignment="1">
      <alignment horizontal="left" vertical="center"/>
    </xf>
    <xf numFmtId="0" fontId="42" fillId="0" borderId="8" xfId="0" applyFont="1" applyBorder="1" applyAlignment="1">
      <alignment horizontal="left" vertical="center"/>
    </xf>
    <xf numFmtId="0" fontId="42" fillId="0" borderId="9" xfId="0" applyFont="1" applyBorder="1" applyAlignment="1">
      <alignment horizontal="left" vertical="center"/>
    </xf>
    <xf numFmtId="0" fontId="42" fillId="0" borderId="14" xfId="0" applyFont="1" applyBorder="1" applyAlignment="1">
      <alignment horizontal="left" vertical="center"/>
    </xf>
    <xf numFmtId="0" fontId="42" fillId="5" borderId="8" xfId="0" applyFont="1" applyFill="1" applyBorder="1" applyAlignment="1">
      <alignment horizontal="center" vertical="center"/>
    </xf>
    <xf numFmtId="0" fontId="42" fillId="5" borderId="9" xfId="0" applyFont="1" applyFill="1" applyBorder="1" applyAlignment="1">
      <alignment horizontal="center" vertical="center"/>
    </xf>
    <xf numFmtId="0" fontId="42" fillId="5" borderId="14" xfId="0" applyFont="1" applyFill="1" applyBorder="1" applyAlignment="1">
      <alignment horizontal="center" vertical="center"/>
    </xf>
    <xf numFmtId="0" fontId="42" fillId="6" borderId="8" xfId="0" applyFont="1" applyFill="1" applyBorder="1" applyAlignment="1">
      <alignment horizontal="center" vertical="center"/>
    </xf>
    <xf numFmtId="0" fontId="42" fillId="6" borderId="9" xfId="0" applyFont="1" applyFill="1" applyBorder="1" applyAlignment="1">
      <alignment horizontal="center" vertical="center"/>
    </xf>
    <xf numFmtId="0" fontId="42" fillId="6" borderId="14" xfId="0" applyFont="1" applyFill="1" applyBorder="1" applyAlignment="1">
      <alignment horizontal="center" vertical="center"/>
    </xf>
    <xf numFmtId="3" fontId="42" fillId="0" borderId="9" xfId="1" applyNumberFormat="1" applyFont="1" applyFill="1" applyBorder="1" applyAlignment="1">
      <alignment horizontal="left" vertical="center" wrapText="1" shrinkToFit="1"/>
    </xf>
    <xf numFmtId="3" fontId="42" fillId="0" borderId="14" xfId="1" applyNumberFormat="1" applyFont="1" applyFill="1" applyBorder="1" applyAlignment="1">
      <alignment horizontal="left" vertical="center" wrapText="1" shrinkToFit="1"/>
    </xf>
    <xf numFmtId="3" fontId="42" fillId="5" borderId="6" xfId="1" applyNumberFormat="1" applyFont="1" applyFill="1" applyBorder="1" applyAlignment="1">
      <alignment horizontal="left" vertical="center" shrinkToFit="1"/>
    </xf>
    <xf numFmtId="0" fontId="42" fillId="5" borderId="6" xfId="0" applyFont="1" applyFill="1" applyBorder="1" applyAlignment="1">
      <alignment horizontal="left" vertical="center" shrinkToFit="1"/>
    </xf>
    <xf numFmtId="0" fontId="42" fillId="5" borderId="33" xfId="0" applyFont="1" applyFill="1" applyBorder="1" applyAlignment="1">
      <alignment horizontal="left" vertical="center" shrinkToFit="1"/>
    </xf>
    <xf numFmtId="3" fontId="42" fillId="0" borderId="6" xfId="1" applyNumberFormat="1" applyFont="1" applyFill="1" applyBorder="1" applyAlignment="1">
      <alignment horizontal="left" vertical="center" shrinkToFit="1"/>
    </xf>
    <xf numFmtId="0" fontId="42" fillId="0" borderId="6" xfId="0" applyFont="1" applyFill="1" applyBorder="1" applyAlignment="1">
      <alignment horizontal="left" vertical="center" shrinkToFit="1"/>
    </xf>
    <xf numFmtId="0" fontId="42" fillId="0" borderId="33" xfId="0" applyFont="1" applyFill="1" applyBorder="1" applyAlignment="1">
      <alignment horizontal="left" vertical="center" shrinkToFit="1"/>
    </xf>
    <xf numFmtId="3" fontId="42" fillId="6" borderId="6" xfId="1" applyNumberFormat="1" applyFont="1" applyFill="1" applyBorder="1" applyAlignment="1">
      <alignment horizontal="left" vertical="center" shrinkToFit="1"/>
    </xf>
    <xf numFmtId="0" fontId="42" fillId="6" borderId="6" xfId="0" applyFont="1" applyFill="1" applyBorder="1" applyAlignment="1">
      <alignment horizontal="left" vertical="center" shrinkToFit="1"/>
    </xf>
    <xf numFmtId="0" fontId="42" fillId="6" borderId="33" xfId="0" applyFont="1" applyFill="1" applyBorder="1" applyAlignment="1">
      <alignment horizontal="left" vertical="center" shrinkToFit="1"/>
    </xf>
    <xf numFmtId="3" fontId="42" fillId="5" borderId="33" xfId="1" applyNumberFormat="1" applyFont="1" applyFill="1" applyBorder="1" applyAlignment="1">
      <alignment horizontal="left" vertical="center" shrinkToFit="1"/>
    </xf>
    <xf numFmtId="41" fontId="43" fillId="0" borderId="0" xfId="1" applyFont="1" applyBorder="1" applyAlignment="1">
      <alignment horizontal="center" vertical="center" wrapText="1"/>
    </xf>
    <xf numFmtId="0" fontId="12" fillId="0" borderId="76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7" xfId="0" applyFont="1" applyBorder="1" applyAlignment="1">
      <alignment horizontal="center" vertical="center" shrinkToFit="1"/>
    </xf>
    <xf numFmtId="0" fontId="12" fillId="0" borderId="69" xfId="0" applyFont="1" applyBorder="1" applyAlignment="1">
      <alignment horizontal="center" vertical="center"/>
    </xf>
    <xf numFmtId="0" fontId="12" fillId="0" borderId="60" xfId="0" applyFont="1" applyBorder="1" applyAlignment="1">
      <alignment horizontal="center" vertical="center"/>
    </xf>
    <xf numFmtId="0" fontId="41" fillId="0" borderId="29" xfId="0" applyFont="1" applyBorder="1" applyAlignment="1">
      <alignment horizontal="center" vertical="center"/>
    </xf>
    <xf numFmtId="0" fontId="41" fillId="0" borderId="42" xfId="0" applyFont="1" applyBorder="1" applyAlignment="1">
      <alignment horizontal="center" vertical="center"/>
    </xf>
    <xf numFmtId="0" fontId="41" fillId="0" borderId="61" xfId="0" applyFont="1" applyBorder="1" applyAlignment="1">
      <alignment horizontal="center" vertical="center"/>
    </xf>
    <xf numFmtId="0" fontId="41" fillId="0" borderId="62" xfId="0" applyFont="1" applyBorder="1" applyAlignment="1">
      <alignment horizontal="center" vertical="center"/>
    </xf>
    <xf numFmtId="0" fontId="41" fillId="0" borderId="63" xfId="0" applyFont="1" applyBorder="1" applyAlignment="1">
      <alignment horizontal="center" vertical="center"/>
    </xf>
    <xf numFmtId="3" fontId="42" fillId="0" borderId="46" xfId="1" applyNumberFormat="1" applyFont="1" applyBorder="1" applyAlignment="1">
      <alignment horizontal="center" vertical="center" shrinkToFit="1"/>
    </xf>
    <xf numFmtId="0" fontId="42" fillId="0" borderId="46" xfId="0" applyFont="1" applyBorder="1" applyAlignment="1">
      <alignment vertical="center" shrinkToFit="1"/>
    </xf>
    <xf numFmtId="0" fontId="42" fillId="0" borderId="45" xfId="0" applyFont="1" applyBorder="1" applyAlignment="1">
      <alignment vertical="center" shrinkToFit="1"/>
    </xf>
    <xf numFmtId="3" fontId="42" fillId="6" borderId="5" xfId="1" applyNumberFormat="1" applyFont="1" applyFill="1" applyBorder="1" applyAlignment="1">
      <alignment horizontal="left" vertical="center" shrinkToFit="1"/>
    </xf>
    <xf numFmtId="3" fontId="42" fillId="6" borderId="70" xfId="1" applyNumberFormat="1" applyFont="1" applyFill="1" applyBorder="1" applyAlignment="1">
      <alignment horizontal="left" vertical="center" shrinkToFit="1"/>
    </xf>
    <xf numFmtId="0" fontId="42" fillId="0" borderId="49" xfId="0" applyFont="1" applyBorder="1" applyAlignment="1">
      <alignment horizontal="right" vertical="center" wrapText="1" shrinkToFit="1"/>
    </xf>
    <xf numFmtId="0" fontId="42" fillId="0" borderId="50" xfId="0" applyFont="1" applyBorder="1" applyAlignment="1">
      <alignment horizontal="right" vertical="center" shrinkToFit="1"/>
    </xf>
    <xf numFmtId="3" fontId="42" fillId="0" borderId="6" xfId="1" applyNumberFormat="1" applyFont="1" applyBorder="1" applyAlignment="1">
      <alignment horizontal="left" vertical="center" wrapText="1" shrinkToFit="1"/>
    </xf>
    <xf numFmtId="0" fontId="42" fillId="0" borderId="6" xfId="0" applyFont="1" applyBorder="1" applyAlignment="1">
      <alignment horizontal="left" vertical="center" shrinkToFit="1"/>
    </xf>
    <xf numFmtId="0" fontId="42" fillId="0" borderId="33" xfId="0" applyFont="1" applyBorder="1" applyAlignment="1">
      <alignment horizontal="left" vertical="center" shrinkToFit="1"/>
    </xf>
    <xf numFmtId="3" fontId="42" fillId="0" borderId="8" xfId="1" applyNumberFormat="1" applyFont="1" applyBorder="1" applyAlignment="1">
      <alignment horizontal="left" vertical="center" wrapText="1" shrinkToFit="1"/>
    </xf>
    <xf numFmtId="0" fontId="42" fillId="0" borderId="9" xfId="0" applyFont="1" applyBorder="1" applyAlignment="1">
      <alignment horizontal="left" vertical="center" shrinkToFit="1"/>
    </xf>
    <xf numFmtId="0" fontId="42" fillId="0" borderId="14" xfId="0" applyFont="1" applyBorder="1" applyAlignment="1">
      <alignment horizontal="left" vertical="center" shrinkToFit="1"/>
    </xf>
    <xf numFmtId="3" fontId="42" fillId="0" borderId="83" xfId="1" applyNumberFormat="1" applyFont="1" applyBorder="1" applyAlignment="1">
      <alignment horizontal="left" vertical="center" shrinkToFit="1"/>
    </xf>
    <xf numFmtId="3" fontId="42" fillId="6" borderId="15" xfId="1" applyNumberFormat="1" applyFont="1" applyFill="1" applyBorder="1" applyAlignment="1">
      <alignment horizontal="left" vertical="center" shrinkToFit="1"/>
    </xf>
    <xf numFmtId="0" fontId="42" fillId="6" borderId="25" xfId="0" applyFont="1" applyFill="1" applyBorder="1" applyAlignment="1">
      <alignment horizontal="left" vertical="center" shrinkToFit="1"/>
    </xf>
    <xf numFmtId="0" fontId="42" fillId="6" borderId="35" xfId="0" applyFont="1" applyFill="1" applyBorder="1" applyAlignment="1">
      <alignment horizontal="left" vertical="center" shrinkToFit="1"/>
    </xf>
    <xf numFmtId="3" fontId="42" fillId="5" borderId="8" xfId="1" applyNumberFormat="1" applyFont="1" applyFill="1" applyBorder="1" applyAlignment="1">
      <alignment horizontal="left" vertical="center" shrinkToFit="1"/>
    </xf>
    <xf numFmtId="0" fontId="42" fillId="5" borderId="9" xfId="0" applyFont="1" applyFill="1" applyBorder="1" applyAlignment="1">
      <alignment horizontal="left" vertical="center" shrinkToFit="1"/>
    </xf>
    <xf numFmtId="0" fontId="42" fillId="5" borderId="14" xfId="0" applyFont="1" applyFill="1" applyBorder="1" applyAlignment="1">
      <alignment horizontal="left" vertical="center" shrinkToFit="1"/>
    </xf>
    <xf numFmtId="3" fontId="42" fillId="0" borderId="8" xfId="1" applyNumberFormat="1" applyFont="1" applyFill="1" applyBorder="1" applyAlignment="1">
      <alignment horizontal="left" vertical="center" shrinkToFit="1"/>
    </xf>
    <xf numFmtId="0" fontId="42" fillId="0" borderId="9" xfId="0" applyFont="1" applyFill="1" applyBorder="1" applyAlignment="1">
      <alignment horizontal="left" vertical="center" shrinkToFit="1"/>
    </xf>
    <xf numFmtId="0" fontId="42" fillId="0" borderId="14" xfId="0" applyFont="1" applyFill="1" applyBorder="1" applyAlignment="1">
      <alignment horizontal="left" vertical="center" shrinkToFit="1"/>
    </xf>
    <xf numFmtId="3" fontId="42" fillId="6" borderId="8" xfId="1" applyNumberFormat="1" applyFont="1" applyFill="1" applyBorder="1" applyAlignment="1">
      <alignment horizontal="left" vertical="center" shrinkToFit="1"/>
    </xf>
    <xf numFmtId="0" fontId="42" fillId="6" borderId="9" xfId="0" applyFont="1" applyFill="1" applyBorder="1" applyAlignment="1">
      <alignment horizontal="left" vertical="center" shrinkToFit="1"/>
    </xf>
    <xf numFmtId="0" fontId="42" fillId="6" borderId="14" xfId="0" applyFont="1" applyFill="1" applyBorder="1" applyAlignment="1">
      <alignment horizontal="left" vertical="center" shrinkToFit="1"/>
    </xf>
    <xf numFmtId="0" fontId="42" fillId="0" borderId="8" xfId="0" applyNumberFormat="1" applyFont="1" applyBorder="1" applyAlignment="1">
      <alignment horizontal="left" vertical="center" wrapText="1" shrinkToFit="1"/>
    </xf>
    <xf numFmtId="0" fontId="42" fillId="0" borderId="8" xfId="0" applyNumberFormat="1" applyFont="1" applyBorder="1" applyAlignment="1">
      <alignment horizontal="left" vertical="center" shrinkToFit="1"/>
    </xf>
    <xf numFmtId="0" fontId="42" fillId="0" borderId="9" xfId="0" applyNumberFormat="1" applyFont="1" applyBorder="1" applyAlignment="1">
      <alignment horizontal="left" vertical="center" shrinkToFit="1"/>
    </xf>
    <xf numFmtId="0" fontId="42" fillId="0" borderId="14" xfId="0" applyNumberFormat="1" applyFont="1" applyBorder="1" applyAlignment="1">
      <alignment horizontal="left" vertical="center" shrinkToFit="1"/>
    </xf>
    <xf numFmtId="0" fontId="12" fillId="14" borderId="80" xfId="0" applyNumberFormat="1" applyFont="1" applyFill="1" applyBorder="1" applyAlignment="1">
      <alignment horizontal="left" vertical="center" shrinkToFit="1"/>
    </xf>
    <xf numFmtId="0" fontId="12" fillId="14" borderId="9" xfId="0" applyNumberFormat="1" applyFont="1" applyFill="1" applyBorder="1" applyAlignment="1">
      <alignment horizontal="left" vertical="center" shrinkToFit="1"/>
    </xf>
    <xf numFmtId="177" fontId="72" fillId="14" borderId="9" xfId="11" applyNumberFormat="1" applyFont="1" applyFill="1" applyBorder="1" applyAlignment="1">
      <alignment horizontal="right" vertical="center"/>
    </xf>
    <xf numFmtId="177" fontId="72" fillId="0" borderId="9" xfId="11" applyNumberFormat="1" applyFont="1" applyFill="1" applyBorder="1" applyAlignment="1">
      <alignment horizontal="right" vertical="center"/>
    </xf>
    <xf numFmtId="0" fontId="12" fillId="0" borderId="80" xfId="0" applyNumberFormat="1" applyFont="1" applyFill="1" applyBorder="1" applyAlignment="1">
      <alignment horizontal="right" vertical="center" shrinkToFit="1"/>
    </xf>
    <xf numFmtId="0" fontId="12" fillId="0" borderId="9" xfId="0" applyNumberFormat="1" applyFont="1" applyFill="1" applyBorder="1" applyAlignment="1">
      <alignment horizontal="right" vertical="center" shrinkToFit="1"/>
    </xf>
    <xf numFmtId="177" fontId="72" fillId="0" borderId="9" xfId="2" applyNumberFormat="1" applyFont="1" applyFill="1" applyBorder="1" applyAlignment="1">
      <alignment horizontal="right" vertical="center"/>
    </xf>
    <xf numFmtId="0" fontId="12" fillId="14" borderId="80" xfId="0" applyFont="1" applyFill="1" applyBorder="1" applyAlignment="1">
      <alignment horizontal="left" vertical="center" shrinkToFit="1"/>
    </xf>
    <xf numFmtId="0" fontId="12" fillId="14" borderId="9" xfId="0" applyFont="1" applyFill="1" applyBorder="1" applyAlignment="1">
      <alignment horizontal="left" vertical="center" shrinkToFit="1"/>
    </xf>
    <xf numFmtId="0" fontId="74" fillId="0" borderId="9" xfId="22" applyNumberFormat="1" applyFont="1" applyFill="1" applyBorder="1" applyAlignment="1">
      <alignment horizontal="right" vertical="center" shrinkToFit="1"/>
    </xf>
    <xf numFmtId="176" fontId="12" fillId="0" borderId="9" xfId="0" applyNumberFormat="1" applyFont="1" applyFill="1" applyBorder="1" applyAlignment="1">
      <alignment horizontal="right" vertical="center" shrinkToFit="1"/>
    </xf>
    <xf numFmtId="0" fontId="12" fillId="23" borderId="80" xfId="0" applyNumberFormat="1" applyFont="1" applyFill="1" applyBorder="1" applyAlignment="1">
      <alignment horizontal="center" vertical="center" shrinkToFit="1"/>
    </xf>
    <xf numFmtId="0" fontId="12" fillId="23" borderId="9" xfId="0" applyNumberFormat="1" applyFont="1" applyFill="1" applyBorder="1" applyAlignment="1">
      <alignment horizontal="center" vertical="center" shrinkToFit="1"/>
    </xf>
    <xf numFmtId="0" fontId="74" fillId="0" borderId="21" xfId="22" applyNumberFormat="1" applyFont="1" applyFill="1" applyBorder="1" applyAlignment="1">
      <alignment horizontal="right" vertical="center" shrinkToFit="1"/>
    </xf>
    <xf numFmtId="0" fontId="12" fillId="23" borderId="9" xfId="0" applyFont="1" applyFill="1" applyBorder="1" applyAlignment="1">
      <alignment horizontal="center" vertical="center" shrinkToFit="1"/>
    </xf>
    <xf numFmtId="177" fontId="72" fillId="14" borderId="9" xfId="2" applyNumberFormat="1" applyFont="1" applyFill="1" applyBorder="1" applyAlignment="1">
      <alignment horizontal="right" vertical="center"/>
    </xf>
    <xf numFmtId="176" fontId="12" fillId="0" borderId="21" xfId="0" applyNumberFormat="1" applyFont="1" applyFill="1" applyBorder="1" applyAlignment="1">
      <alignment horizontal="right" vertical="center" shrinkToFit="1"/>
    </xf>
    <xf numFmtId="0" fontId="45" fillId="0" borderId="51" xfId="0" applyFont="1" applyBorder="1" applyAlignment="1">
      <alignment horizontal="center" vertical="center"/>
    </xf>
    <xf numFmtId="0" fontId="45" fillId="0" borderId="10" xfId="0" applyFont="1" applyBorder="1" applyAlignment="1">
      <alignment horizontal="center" vertical="center"/>
    </xf>
    <xf numFmtId="41" fontId="43" fillId="0" borderId="0" xfId="1" applyFont="1" applyBorder="1" applyAlignment="1">
      <alignment horizontal="center" vertical="center"/>
    </xf>
    <xf numFmtId="0" fontId="42" fillId="0" borderId="47" xfId="0" applyFont="1" applyBorder="1" applyAlignment="1">
      <alignment horizontal="center" vertical="center"/>
    </xf>
    <xf numFmtId="0" fontId="42" fillId="0" borderId="48" xfId="0" applyFont="1" applyBorder="1" applyAlignment="1">
      <alignment horizontal="center" vertical="center"/>
    </xf>
    <xf numFmtId="0" fontId="42" fillId="0" borderId="49" xfId="0" applyFont="1" applyBorder="1" applyAlignment="1">
      <alignment horizontal="center" vertical="center" wrapText="1"/>
    </xf>
    <xf numFmtId="0" fontId="42" fillId="0" borderId="50" xfId="0" applyFont="1" applyBorder="1" applyAlignment="1">
      <alignment horizontal="center" vertical="center"/>
    </xf>
    <xf numFmtId="176" fontId="42" fillId="0" borderId="57" xfId="0" applyNumberFormat="1" applyFont="1" applyBorder="1" applyAlignment="1">
      <alignment horizontal="center" vertical="center" wrapText="1" shrinkToFit="1"/>
    </xf>
    <xf numFmtId="176" fontId="42" fillId="0" borderId="77" xfId="0" applyNumberFormat="1" applyFont="1" applyBorder="1" applyAlignment="1">
      <alignment horizontal="center" vertical="center" shrinkToFit="1"/>
    </xf>
    <xf numFmtId="0" fontId="42" fillId="0" borderId="29" xfId="0" applyFont="1" applyBorder="1" applyAlignment="1">
      <alignment horizontal="center" vertical="center"/>
    </xf>
    <xf numFmtId="0" fontId="41" fillId="0" borderId="29" xfId="0" applyFont="1" applyBorder="1" applyAlignment="1">
      <alignment vertical="center"/>
    </xf>
    <xf numFmtId="0" fontId="41" fillId="0" borderId="42" xfId="0" applyFont="1" applyBorder="1" applyAlignment="1">
      <alignment vertical="center"/>
    </xf>
    <xf numFmtId="0" fontId="41" fillId="0" borderId="62" xfId="0" applyFont="1" applyBorder="1" applyAlignment="1">
      <alignment vertical="center"/>
    </xf>
    <xf numFmtId="0" fontId="41" fillId="0" borderId="63" xfId="0" applyFont="1" applyBorder="1" applyAlignment="1">
      <alignment vertical="center"/>
    </xf>
    <xf numFmtId="0" fontId="58" fillId="0" borderId="47" xfId="0" applyFont="1" applyBorder="1" applyAlignment="1">
      <alignment horizontal="center" vertical="center" wrapText="1"/>
    </xf>
    <xf numFmtId="0" fontId="58" fillId="0" borderId="48" xfId="0" applyFont="1" applyBorder="1" applyAlignment="1">
      <alignment horizontal="center" vertical="center" wrapText="1"/>
    </xf>
    <xf numFmtId="0" fontId="58" fillId="0" borderId="89" xfId="0" applyFont="1" applyBorder="1" applyAlignment="1">
      <alignment horizontal="center" vertical="center" wrapText="1"/>
    </xf>
    <xf numFmtId="0" fontId="12" fillId="0" borderId="80" xfId="0" applyFont="1" applyFill="1" applyBorder="1" applyAlignment="1">
      <alignment horizontal="right" vertical="center" shrinkToFit="1"/>
    </xf>
    <xf numFmtId="0" fontId="12" fillId="0" borderId="9" xfId="0" applyFont="1" applyFill="1" applyBorder="1" applyAlignment="1">
      <alignment horizontal="right" vertical="center" shrinkToFit="1"/>
    </xf>
    <xf numFmtId="41" fontId="12" fillId="14" borderId="80" xfId="0" applyNumberFormat="1" applyFont="1" applyFill="1" applyBorder="1" applyAlignment="1">
      <alignment horizontal="left" vertical="center" shrinkToFit="1"/>
    </xf>
    <xf numFmtId="41" fontId="12" fillId="14" borderId="9" xfId="0" applyNumberFormat="1" applyFont="1" applyFill="1" applyBorder="1" applyAlignment="1">
      <alignment horizontal="left" vertical="center" shrinkToFit="1"/>
    </xf>
    <xf numFmtId="41" fontId="12" fillId="0" borderId="80" xfId="0" applyNumberFormat="1" applyFont="1" applyBorder="1" applyAlignment="1">
      <alignment horizontal="right" vertical="center" shrinkToFit="1"/>
    </xf>
    <xf numFmtId="41" fontId="12" fillId="0" borderId="9" xfId="0" applyNumberFormat="1" applyFont="1" applyBorder="1" applyAlignment="1">
      <alignment horizontal="right" vertical="center" shrinkToFit="1"/>
    </xf>
    <xf numFmtId="41" fontId="12" fillId="0" borderId="43" xfId="0" applyNumberFormat="1" applyFont="1" applyBorder="1" applyAlignment="1">
      <alignment horizontal="right" vertical="center" shrinkToFit="1"/>
    </xf>
    <xf numFmtId="41" fontId="12" fillId="0" borderId="84" xfId="0" applyNumberFormat="1" applyFont="1" applyBorder="1" applyAlignment="1">
      <alignment horizontal="right" vertical="center" shrinkToFit="1"/>
    </xf>
    <xf numFmtId="177" fontId="72" fillId="0" borderId="84" xfId="11" applyNumberFormat="1" applyFont="1" applyFill="1" applyBorder="1" applyAlignment="1">
      <alignment horizontal="right" vertical="center"/>
    </xf>
    <xf numFmtId="0" fontId="63" fillId="0" borderId="154" xfId="0" applyFont="1" applyBorder="1" applyAlignment="1">
      <alignment horizontal="center" vertical="center"/>
    </xf>
    <xf numFmtId="0" fontId="63" fillId="0" borderId="122" xfId="0" applyFont="1" applyBorder="1" applyAlignment="1">
      <alignment horizontal="center" vertical="center"/>
    </xf>
    <xf numFmtId="0" fontId="63" fillId="0" borderId="123" xfId="0" applyFont="1" applyBorder="1" applyAlignment="1">
      <alignment horizontal="center" vertical="center"/>
    </xf>
    <xf numFmtId="0" fontId="63" fillId="0" borderId="148" xfId="0" applyFont="1" applyBorder="1" applyAlignment="1">
      <alignment horizontal="center" vertical="center"/>
    </xf>
    <xf numFmtId="0" fontId="60" fillId="0" borderId="0" xfId="0" applyFont="1" applyAlignment="1">
      <alignment horizontal="center" vertical="center"/>
    </xf>
    <xf numFmtId="0" fontId="61" fillId="0" borderId="0" xfId="0" applyFont="1" applyAlignment="1">
      <alignment vertical="center"/>
    </xf>
    <xf numFmtId="0" fontId="57" fillId="0" borderId="142" xfId="0" applyFont="1" applyFill="1" applyBorder="1" applyAlignment="1">
      <alignment horizontal="center" vertical="center"/>
    </xf>
    <xf numFmtId="0" fontId="57" fillId="0" borderId="143" xfId="0" applyFont="1" applyFill="1" applyBorder="1" applyAlignment="1">
      <alignment horizontal="center" vertical="center"/>
    </xf>
    <xf numFmtId="0" fontId="57" fillId="0" borderId="41" xfId="0" applyFont="1" applyFill="1" applyBorder="1" applyAlignment="1">
      <alignment horizontal="center" vertical="center"/>
    </xf>
    <xf numFmtId="176" fontId="57" fillId="0" borderId="144" xfId="0" applyNumberFormat="1" applyFont="1" applyFill="1" applyBorder="1" applyAlignment="1">
      <alignment horizontal="center" vertical="center"/>
    </xf>
    <xf numFmtId="176" fontId="57" fillId="0" borderId="145" xfId="0" applyNumberFormat="1" applyFont="1" applyFill="1" applyBorder="1" applyAlignment="1">
      <alignment horizontal="center" vertical="center"/>
    </xf>
    <xf numFmtId="176" fontId="57" fillId="0" borderId="146" xfId="0" applyNumberFormat="1" applyFont="1" applyFill="1" applyBorder="1" applyAlignment="1">
      <alignment horizontal="center" vertical="center"/>
    </xf>
    <xf numFmtId="41" fontId="9" fillId="0" borderId="0" xfId="1" applyFont="1" applyBorder="1" applyAlignment="1">
      <alignment horizontal="center" vertical="center"/>
    </xf>
    <xf numFmtId="41" fontId="57" fillId="0" borderId="2" xfId="1" applyFont="1" applyBorder="1" applyAlignment="1">
      <alignment horizontal="center" vertical="center"/>
    </xf>
    <xf numFmtId="41" fontId="57" fillId="0" borderId="54" xfId="1" applyFont="1" applyBorder="1" applyAlignment="1">
      <alignment horizontal="center" vertical="center"/>
    </xf>
    <xf numFmtId="0" fontId="12" fillId="0" borderId="78" xfId="0" applyFont="1" applyBorder="1" applyAlignment="1">
      <alignment horizontal="center" vertical="center" wrapText="1"/>
    </xf>
    <xf numFmtId="0" fontId="12" fillId="0" borderId="152" xfId="0" applyFont="1" applyBorder="1" applyAlignment="1">
      <alignment horizontal="center" vertical="center" wrapText="1"/>
    </xf>
    <xf numFmtId="0" fontId="52" fillId="0" borderId="27" xfId="0" applyFont="1" applyBorder="1" applyAlignment="1">
      <alignment horizontal="center" vertical="center"/>
    </xf>
    <xf numFmtId="0" fontId="52" fillId="0" borderId="46" xfId="0" applyFont="1" applyBorder="1" applyAlignment="1">
      <alignment horizontal="center" vertical="center"/>
    </xf>
    <xf numFmtId="0" fontId="52" fillId="0" borderId="37" xfId="0" applyFont="1" applyBorder="1" applyAlignment="1">
      <alignment horizontal="center" vertical="center"/>
    </xf>
    <xf numFmtId="0" fontId="8" fillId="0" borderId="22" xfId="0" applyFont="1" applyBorder="1" applyAlignment="1">
      <alignment horizontal="right" vertical="center"/>
    </xf>
    <xf numFmtId="0" fontId="12" fillId="0" borderId="60" xfId="0" applyFont="1" applyBorder="1" applyAlignment="1">
      <alignment horizontal="center" vertical="center" wrapText="1"/>
    </xf>
    <xf numFmtId="0" fontId="12" fillId="0" borderId="61" xfId="0" applyFont="1" applyBorder="1" applyAlignment="1">
      <alignment horizontal="center" vertical="center" wrapText="1"/>
    </xf>
    <xf numFmtId="0" fontId="12" fillId="0" borderId="151" xfId="0" applyFont="1" applyBorder="1" applyAlignment="1">
      <alignment horizontal="center" vertical="center"/>
    </xf>
    <xf numFmtId="0" fontId="12" fillId="0" borderId="87" xfId="0" applyFont="1" applyBorder="1" applyAlignment="1">
      <alignment horizontal="center" vertical="center"/>
    </xf>
    <xf numFmtId="0" fontId="12" fillId="0" borderId="88" xfId="0" applyFont="1" applyBorder="1" applyAlignment="1">
      <alignment horizontal="center" vertical="center"/>
    </xf>
    <xf numFmtId="42" fontId="19" fillId="0" borderId="22" xfId="16" applyFont="1" applyFill="1" applyBorder="1" applyAlignment="1">
      <alignment vertical="center"/>
    </xf>
    <xf numFmtId="0" fontId="0" fillId="0" borderId="22" xfId="0" applyBorder="1" applyAlignment="1">
      <alignment vertical="center"/>
    </xf>
    <xf numFmtId="0" fontId="0" fillId="0" borderId="53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59" xfId="0" applyBorder="1" applyAlignment="1">
      <alignment horizontal="right" vertical="center"/>
    </xf>
    <xf numFmtId="42" fontId="20" fillId="0" borderId="0" xfId="16" applyFont="1" applyFill="1" applyAlignment="1">
      <alignment horizontal="center" vertical="center"/>
    </xf>
    <xf numFmtId="42" fontId="12" fillId="2" borderId="78" xfId="16" applyFont="1" applyFill="1" applyBorder="1" applyAlignment="1">
      <alignment horizontal="center" vertical="center"/>
    </xf>
    <xf numFmtId="42" fontId="12" fillId="2" borderId="79" xfId="16" applyFont="1" applyFill="1" applyBorder="1" applyAlignment="1">
      <alignment horizontal="center" vertical="center"/>
    </xf>
    <xf numFmtId="41" fontId="12" fillId="2" borderId="78" xfId="1" applyFont="1" applyFill="1" applyBorder="1" applyAlignment="1">
      <alignment horizontal="center" vertical="center"/>
    </xf>
    <xf numFmtId="41" fontId="12" fillId="2" borderId="79" xfId="1" applyFont="1" applyFill="1" applyBorder="1" applyAlignment="1">
      <alignment horizontal="center" vertical="center"/>
    </xf>
    <xf numFmtId="41" fontId="12" fillId="2" borderId="78" xfId="1" applyFont="1" applyFill="1" applyBorder="1" applyAlignment="1">
      <alignment horizontal="center" vertical="center" wrapText="1"/>
    </xf>
    <xf numFmtId="41" fontId="12" fillId="2" borderId="79" xfId="1" applyFont="1" applyFill="1" applyBorder="1" applyAlignment="1">
      <alignment horizontal="center" vertical="center" wrapText="1"/>
    </xf>
    <xf numFmtId="41" fontId="12" fillId="2" borderId="53" xfId="1" applyFont="1" applyFill="1" applyBorder="1" applyAlignment="1">
      <alignment horizontal="center" vertical="center"/>
    </xf>
    <xf numFmtId="41" fontId="12" fillId="2" borderId="2" xfId="1" applyFont="1" applyFill="1" applyBorder="1" applyAlignment="1">
      <alignment horizontal="center" vertical="center"/>
    </xf>
    <xf numFmtId="41" fontId="12" fillId="2" borderId="59" xfId="1" applyFont="1" applyFill="1" applyBorder="1" applyAlignment="1">
      <alignment horizontal="center" vertical="center"/>
    </xf>
    <xf numFmtId="42" fontId="18" fillId="0" borderId="22" xfId="16" applyFont="1" applyFill="1" applyBorder="1" applyAlignment="1">
      <alignment vertical="center"/>
    </xf>
    <xf numFmtId="42" fontId="15" fillId="2" borderId="78" xfId="16" applyFont="1" applyFill="1" applyBorder="1" applyAlignment="1">
      <alignment horizontal="center" vertical="center"/>
    </xf>
    <xf numFmtId="42" fontId="15" fillId="2" borderId="79" xfId="16" applyFont="1" applyFill="1" applyBorder="1" applyAlignment="1">
      <alignment horizontal="center" vertical="center"/>
    </xf>
    <xf numFmtId="41" fontId="15" fillId="2" borderId="78" xfId="1" applyFont="1" applyFill="1" applyBorder="1" applyAlignment="1">
      <alignment horizontal="center" vertical="center"/>
    </xf>
    <xf numFmtId="41" fontId="15" fillId="2" borderId="79" xfId="1" applyFont="1" applyFill="1" applyBorder="1" applyAlignment="1">
      <alignment horizontal="center" vertical="center"/>
    </xf>
    <xf numFmtId="41" fontId="15" fillId="2" borderId="53" xfId="1" applyFont="1" applyFill="1" applyBorder="1" applyAlignment="1">
      <alignment horizontal="center" vertical="center"/>
    </xf>
    <xf numFmtId="41" fontId="15" fillId="2" borderId="2" xfId="1" applyFont="1" applyFill="1" applyBorder="1" applyAlignment="1">
      <alignment horizontal="center" vertical="center"/>
    </xf>
    <xf numFmtId="41" fontId="15" fillId="2" borderId="59" xfId="1" applyFont="1" applyFill="1" applyBorder="1" applyAlignment="1">
      <alignment horizontal="center" vertical="center"/>
    </xf>
    <xf numFmtId="41" fontId="15" fillId="2" borderId="78" xfId="1" applyFont="1" applyFill="1" applyBorder="1" applyAlignment="1">
      <alignment horizontal="center" vertical="center" wrapText="1"/>
    </xf>
    <xf numFmtId="41" fontId="15" fillId="2" borderId="79" xfId="1" applyFont="1" applyFill="1" applyBorder="1" applyAlignment="1">
      <alignment horizontal="center" vertical="center" wrapText="1"/>
    </xf>
    <xf numFmtId="0" fontId="41" fillId="14" borderId="69" xfId="0" applyFont="1" applyFill="1" applyBorder="1" applyAlignment="1">
      <alignment horizontal="right" vertical="center"/>
    </xf>
    <xf numFmtId="0" fontId="15" fillId="0" borderId="78" xfId="0" applyFont="1" applyFill="1" applyBorder="1" applyAlignment="1">
      <alignment horizontal="center" vertical="center"/>
    </xf>
    <xf numFmtId="0" fontId="15" fillId="0" borderId="79" xfId="0" applyFont="1" applyFill="1" applyBorder="1" applyAlignment="1">
      <alignment horizontal="center" vertical="center"/>
    </xf>
    <xf numFmtId="0" fontId="15" fillId="0" borderId="78" xfId="0" applyFont="1" applyBorder="1" applyAlignment="1">
      <alignment horizontal="center" vertical="center"/>
    </xf>
    <xf numFmtId="0" fontId="15" fillId="0" borderId="79" xfId="0" applyFont="1" applyBorder="1" applyAlignment="1">
      <alignment horizontal="center" vertical="center"/>
    </xf>
    <xf numFmtId="41" fontId="70" fillId="3" borderId="78" xfId="1" applyFont="1" applyFill="1" applyBorder="1" applyAlignment="1">
      <alignment horizontal="center" vertical="center"/>
    </xf>
    <xf numFmtId="41" fontId="70" fillId="3" borderId="79" xfId="1" applyFont="1" applyFill="1" applyBorder="1" applyAlignment="1">
      <alignment horizontal="center" vertical="center"/>
    </xf>
    <xf numFmtId="41" fontId="65" fillId="3" borderId="78" xfId="1" applyFont="1" applyFill="1" applyBorder="1" applyAlignment="1">
      <alignment horizontal="center" vertical="center"/>
    </xf>
    <xf numFmtId="41" fontId="65" fillId="3" borderId="79" xfId="1" applyFont="1" applyFill="1" applyBorder="1" applyAlignment="1">
      <alignment horizontal="center" vertical="center"/>
    </xf>
    <xf numFmtId="0" fontId="15" fillId="0" borderId="94" xfId="0" applyFont="1" applyFill="1" applyBorder="1" applyAlignment="1">
      <alignment horizontal="center" vertical="center"/>
    </xf>
    <xf numFmtId="0" fontId="15" fillId="0" borderId="94" xfId="0" applyFont="1" applyBorder="1" applyAlignment="1">
      <alignment horizontal="center" vertical="center"/>
    </xf>
    <xf numFmtId="41" fontId="65" fillId="3" borderId="94" xfId="1" applyFont="1" applyFill="1" applyBorder="1" applyAlignment="1">
      <alignment horizontal="center" vertical="center"/>
    </xf>
    <xf numFmtId="42" fontId="18" fillId="0" borderId="0" xfId="16" applyFont="1" applyFill="1" applyAlignment="1">
      <alignment horizontal="left" vertical="center"/>
    </xf>
    <xf numFmtId="0" fontId="15" fillId="0" borderId="78" xfId="0" applyFont="1" applyBorder="1" applyAlignment="1">
      <alignment horizontal="center" vertical="center" wrapText="1"/>
    </xf>
    <xf numFmtId="0" fontId="12" fillId="0" borderId="78" xfId="0" applyFont="1" applyBorder="1" applyAlignment="1">
      <alignment horizontal="center" vertical="center"/>
    </xf>
    <xf numFmtId="0" fontId="12" fillId="0" borderId="79" xfId="0" applyFont="1" applyBorder="1" applyAlignment="1">
      <alignment horizontal="center" vertical="center"/>
    </xf>
    <xf numFmtId="0" fontId="12" fillId="0" borderId="78" xfId="0" applyFont="1" applyFill="1" applyBorder="1" applyAlignment="1">
      <alignment horizontal="center" vertical="center"/>
    </xf>
    <xf numFmtId="0" fontId="12" fillId="0" borderId="79" xfId="0" applyFont="1" applyFill="1" applyBorder="1" applyAlignment="1">
      <alignment horizontal="center" vertical="center"/>
    </xf>
    <xf numFmtId="41" fontId="42" fillId="3" borderId="78" xfId="1" applyFont="1" applyFill="1" applyBorder="1" applyAlignment="1">
      <alignment horizontal="center" vertical="center"/>
    </xf>
    <xf numFmtId="41" fontId="42" fillId="3" borderId="79" xfId="1" applyFont="1" applyFill="1" applyBorder="1" applyAlignment="1">
      <alignment horizontal="center" vertical="center"/>
    </xf>
    <xf numFmtId="0" fontId="12" fillId="0" borderId="78" xfId="0" applyFont="1" applyFill="1" applyBorder="1" applyAlignment="1">
      <alignment horizontal="center" vertical="center" wrapText="1"/>
    </xf>
    <xf numFmtId="0" fontId="41" fillId="0" borderId="69" xfId="0" applyFont="1" applyBorder="1" applyAlignment="1">
      <alignment horizontal="right" vertical="center"/>
    </xf>
    <xf numFmtId="42" fontId="15" fillId="3" borderId="53" xfId="16" applyFont="1" applyFill="1" applyBorder="1" applyAlignment="1">
      <alignment horizontal="center" vertical="center"/>
    </xf>
    <xf numFmtId="42" fontId="15" fillId="3" borderId="2" xfId="16" applyFont="1" applyFill="1" applyBorder="1" applyAlignment="1">
      <alignment horizontal="center" vertical="center"/>
    </xf>
    <xf numFmtId="42" fontId="15" fillId="3" borderId="59" xfId="16" applyFont="1" applyFill="1" applyBorder="1" applyAlignment="1">
      <alignment horizontal="center" vertical="center"/>
    </xf>
    <xf numFmtId="0" fontId="25" fillId="0" borderId="0" xfId="0" applyFont="1" applyAlignment="1">
      <alignment horizontal="left" vertical="center"/>
    </xf>
    <xf numFmtId="0" fontId="23" fillId="0" borderId="112" xfId="0" applyFont="1" applyBorder="1" applyAlignment="1">
      <alignment horizontal="center" vertical="center"/>
    </xf>
    <xf numFmtId="0" fontId="23" fillId="0" borderId="113" xfId="0" applyFont="1" applyBorder="1" applyAlignment="1">
      <alignment horizontal="center" vertical="center"/>
    </xf>
    <xf numFmtId="179" fontId="23" fillId="0" borderId="115" xfId="0" applyNumberFormat="1" applyFont="1" applyBorder="1" applyAlignment="1">
      <alignment horizontal="center" vertical="center"/>
    </xf>
    <xf numFmtId="179" fontId="23" fillId="0" borderId="113" xfId="0" applyNumberFormat="1" applyFont="1" applyBorder="1" applyAlignment="1">
      <alignment horizontal="center" vertical="center"/>
    </xf>
    <xf numFmtId="0" fontId="23" fillId="8" borderId="117" xfId="0" applyFont="1" applyFill="1" applyBorder="1" applyAlignment="1">
      <alignment horizontal="center" vertical="center"/>
    </xf>
    <xf numFmtId="0" fontId="23" fillId="8" borderId="28" xfId="0" applyFont="1" applyFill="1" applyBorder="1" applyAlignment="1">
      <alignment horizontal="center" vertical="center"/>
    </xf>
    <xf numFmtId="0" fontId="23" fillId="8" borderId="118" xfId="0" applyFont="1" applyFill="1" applyBorder="1" applyAlignment="1">
      <alignment horizontal="center" vertical="center"/>
    </xf>
    <xf numFmtId="0" fontId="30" fillId="0" borderId="120" xfId="0" applyFont="1" applyBorder="1" applyAlignment="1">
      <alignment horizontal="center" vertical="center"/>
    </xf>
    <xf numFmtId="0" fontId="30" fillId="0" borderId="122" xfId="0" applyFont="1" applyBorder="1" applyAlignment="1">
      <alignment horizontal="center" vertical="center"/>
    </xf>
    <xf numFmtId="0" fontId="30" fillId="0" borderId="123" xfId="0" applyFont="1" applyBorder="1" applyAlignment="1">
      <alignment horizontal="center" vertical="center"/>
    </xf>
    <xf numFmtId="0" fontId="30" fillId="0" borderId="8" xfId="0" applyFont="1" applyBorder="1" applyAlignment="1">
      <alignment horizontal="distributed" vertical="center"/>
    </xf>
    <xf numFmtId="0" fontId="30" fillId="0" borderId="30" xfId="0" applyFont="1" applyBorder="1" applyAlignment="1">
      <alignment horizontal="distributed" vertical="center"/>
    </xf>
    <xf numFmtId="0" fontId="30" fillId="0" borderId="3" xfId="0" applyFont="1" applyBorder="1" applyAlignment="1">
      <alignment horizontal="distributed" vertical="center"/>
    </xf>
    <xf numFmtId="0" fontId="30" fillId="0" borderId="5" xfId="0" applyFont="1" applyBorder="1" applyAlignment="1">
      <alignment horizontal="distributed" vertical="center"/>
    </xf>
    <xf numFmtId="0" fontId="30" fillId="0" borderId="3" xfId="0" applyFont="1" applyBorder="1" applyAlignment="1">
      <alignment horizontal="center" vertical="center"/>
    </xf>
    <xf numFmtId="0" fontId="30" fillId="0" borderId="5" xfId="0" applyFont="1" applyBorder="1" applyAlignment="1">
      <alignment horizontal="center" vertical="center"/>
    </xf>
    <xf numFmtId="0" fontId="32" fillId="0" borderId="3" xfId="0" applyFont="1" applyBorder="1" applyAlignment="1">
      <alignment horizontal="center" vertical="center"/>
    </xf>
    <xf numFmtId="0" fontId="32" fillId="0" borderId="5" xfId="0" applyFont="1" applyBorder="1" applyAlignment="1">
      <alignment horizontal="center" vertical="center"/>
    </xf>
    <xf numFmtId="0" fontId="30" fillId="0" borderId="124" xfId="0" applyFont="1" applyBorder="1" applyAlignment="1">
      <alignment horizontal="center" vertical="center"/>
    </xf>
    <xf numFmtId="0" fontId="30" fillId="0" borderId="4" xfId="0" applyFont="1" applyBorder="1" applyAlignment="1">
      <alignment horizontal="distributed" vertical="center"/>
    </xf>
    <xf numFmtId="0" fontId="30" fillId="0" borderId="15" xfId="0" applyFont="1" applyBorder="1" applyAlignment="1">
      <alignment horizontal="distributed" vertical="center"/>
    </xf>
    <xf numFmtId="0" fontId="30" fillId="0" borderId="26" xfId="0" applyFont="1" applyBorder="1" applyAlignment="1">
      <alignment horizontal="distributed" vertical="center"/>
    </xf>
    <xf numFmtId="0" fontId="33" fillId="0" borderId="122" xfId="0" applyFont="1" applyBorder="1" applyAlignment="1">
      <alignment vertical="center"/>
    </xf>
    <xf numFmtId="0" fontId="33" fillId="0" borderId="124" xfId="0" applyFont="1" applyBorder="1" applyAlignment="1">
      <alignment vertical="center"/>
    </xf>
    <xf numFmtId="0" fontId="30" fillId="0" borderId="6" xfId="0" applyFont="1" applyBorder="1" applyAlignment="1">
      <alignment horizontal="distributed" vertical="center"/>
    </xf>
    <xf numFmtId="0" fontId="30" fillId="0" borderId="128" xfId="0" applyFont="1" applyBorder="1" applyAlignment="1">
      <alignment vertical="center"/>
    </xf>
    <xf numFmtId="0" fontId="30" fillId="0" borderId="128" xfId="0" applyFont="1" applyBorder="1" applyAlignment="1">
      <alignment horizontal="center" vertical="center" wrapText="1"/>
    </xf>
    <xf numFmtId="0" fontId="30" fillId="0" borderId="129" xfId="0" applyFont="1" applyBorder="1" applyAlignment="1">
      <alignment vertical="center"/>
    </xf>
    <xf numFmtId="0" fontId="30" fillId="0" borderId="125" xfId="0" applyFont="1" applyBorder="1" applyAlignment="1">
      <alignment horizontal="distributed" vertical="center"/>
    </xf>
    <xf numFmtId="179" fontId="28" fillId="0" borderId="8" xfId="0" applyNumberFormat="1" applyFont="1" applyBorder="1" applyAlignment="1">
      <alignment horizontal="center" vertical="center"/>
    </xf>
    <xf numFmtId="179" fontId="28" fillId="0" borderId="9" xfId="0" applyNumberFormat="1" applyFont="1" applyBorder="1" applyAlignment="1">
      <alignment horizontal="center" vertical="center"/>
    </xf>
    <xf numFmtId="179" fontId="28" fillId="0" borderId="30" xfId="0" applyNumberFormat="1" applyFont="1" applyBorder="1" applyAlignment="1">
      <alignment horizontal="center" vertical="center"/>
    </xf>
    <xf numFmtId="179" fontId="25" fillId="0" borderId="133" xfId="0" applyNumberFormat="1" applyFont="1" applyBorder="1" applyAlignment="1">
      <alignment horizontal="center" vertical="center"/>
    </xf>
    <xf numFmtId="0" fontId="25" fillId="0" borderId="133" xfId="0" applyFont="1" applyBorder="1" applyAlignment="1">
      <alignment vertical="center"/>
    </xf>
    <xf numFmtId="179" fontId="28" fillId="8" borderId="20" xfId="0" applyNumberFormat="1" applyFont="1" applyFill="1" applyBorder="1" applyAlignment="1">
      <alignment horizontal="center" vertical="center"/>
    </xf>
    <xf numFmtId="0" fontId="26" fillId="8" borderId="5" xfId="0" applyFont="1" applyFill="1" applyBorder="1" applyAlignment="1">
      <alignment vertical="center"/>
    </xf>
    <xf numFmtId="179" fontId="28" fillId="0" borderId="6" xfId="0" applyNumberFormat="1" applyFont="1" applyBorder="1" applyAlignment="1">
      <alignment horizontal="center" vertical="center"/>
    </xf>
    <xf numFmtId="0" fontId="28" fillId="0" borderId="6" xfId="0" applyFont="1" applyBorder="1" applyAlignment="1">
      <alignment vertical="center"/>
    </xf>
    <xf numFmtId="0" fontId="28" fillId="0" borderId="9" xfId="0" applyFont="1" applyBorder="1" applyAlignment="1">
      <alignment vertical="center"/>
    </xf>
    <xf numFmtId="0" fontId="28" fillId="0" borderId="30" xfId="0" applyFont="1" applyBorder="1" applyAlignment="1">
      <alignment vertical="center"/>
    </xf>
    <xf numFmtId="0" fontId="25" fillId="0" borderId="20" xfId="0" applyFont="1" applyBorder="1" applyAlignment="1">
      <alignment horizontal="center" vertical="center"/>
    </xf>
    <xf numFmtId="0" fontId="29" fillId="0" borderId="5" xfId="0" applyFont="1" applyBorder="1" applyAlignment="1">
      <alignment horizontal="center" vertical="center"/>
    </xf>
    <xf numFmtId="0" fontId="30" fillId="0" borderId="16" xfId="0" applyFont="1" applyBorder="1" applyAlignment="1">
      <alignment horizontal="left" vertical="center" wrapText="1"/>
    </xf>
    <xf numFmtId="0" fontId="30" fillId="0" borderId="28" xfId="0" applyFont="1" applyBorder="1" applyAlignment="1">
      <alignment horizontal="left" vertical="center" wrapText="1"/>
    </xf>
    <xf numFmtId="0" fontId="30" fillId="0" borderId="74" xfId="0" applyFont="1" applyBorder="1" applyAlignment="1">
      <alignment horizontal="left" vertical="center" wrapText="1"/>
    </xf>
    <xf numFmtId="176" fontId="32" fillId="0" borderId="8" xfId="0" applyNumberFormat="1" applyFont="1" applyBorder="1" applyAlignment="1">
      <alignment horizontal="left" vertical="center"/>
    </xf>
    <xf numFmtId="176" fontId="32" fillId="0" borderId="9" xfId="0" applyNumberFormat="1" applyFont="1" applyBorder="1" applyAlignment="1">
      <alignment horizontal="left" vertical="center"/>
    </xf>
    <xf numFmtId="176" fontId="32" fillId="0" borderId="14" xfId="0" applyNumberFormat="1" applyFont="1" applyBorder="1" applyAlignment="1">
      <alignment horizontal="left" vertical="center"/>
    </xf>
    <xf numFmtId="176" fontId="30" fillId="0" borderId="15" xfId="0" applyNumberFormat="1" applyFont="1" applyBorder="1" applyAlignment="1">
      <alignment horizontal="left" vertical="center"/>
    </xf>
    <xf numFmtId="176" fontId="30" fillId="0" borderId="25" xfId="0" applyNumberFormat="1" applyFont="1" applyBorder="1" applyAlignment="1">
      <alignment horizontal="left" vertical="center"/>
    </xf>
    <xf numFmtId="176" fontId="30" fillId="0" borderId="35" xfId="0" applyNumberFormat="1" applyFont="1" applyBorder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6" fillId="0" borderId="22" xfId="0" applyFont="1" applyBorder="1" applyAlignment="1">
      <alignment horizontal="right" vertical="center"/>
    </xf>
    <xf numFmtId="0" fontId="25" fillId="0" borderId="86" xfId="0" applyFont="1" applyBorder="1" applyAlignment="1">
      <alignment horizontal="center" vertical="center"/>
    </xf>
    <xf numFmtId="0" fontId="25" fillId="0" borderId="87" xfId="0" applyFont="1" applyBorder="1" applyAlignment="1">
      <alignment horizontal="center" vertical="center"/>
    </xf>
    <xf numFmtId="0" fontId="25" fillId="0" borderId="88" xfId="0" applyFont="1" applyBorder="1" applyAlignment="1">
      <alignment horizontal="center" vertical="center"/>
    </xf>
    <xf numFmtId="179" fontId="25" fillId="0" borderId="49" xfId="0" applyNumberFormat="1" applyFont="1" applyBorder="1" applyAlignment="1">
      <alignment horizontal="center" vertical="center" wrapText="1"/>
    </xf>
    <xf numFmtId="179" fontId="25" fillId="0" borderId="50" xfId="0" applyNumberFormat="1" applyFont="1" applyBorder="1" applyAlignment="1">
      <alignment horizontal="center" vertical="center" wrapText="1"/>
    </xf>
    <xf numFmtId="0" fontId="25" fillId="0" borderId="49" xfId="0" applyFont="1" applyBorder="1" applyAlignment="1">
      <alignment horizontal="center" vertical="center" wrapText="1"/>
    </xf>
    <xf numFmtId="0" fontId="25" fillId="0" borderId="50" xfId="0" applyFont="1" applyBorder="1" applyAlignment="1">
      <alignment horizontal="center" vertical="center" wrapText="1"/>
    </xf>
    <xf numFmtId="0" fontId="28" fillId="0" borderId="49" xfId="0" applyFont="1" applyBorder="1" applyAlignment="1">
      <alignment horizontal="center" vertical="center"/>
    </xf>
    <xf numFmtId="0" fontId="25" fillId="0" borderId="60" xfId="0" applyFont="1" applyBorder="1" applyAlignment="1">
      <alignment horizontal="center" vertical="center" wrapText="1"/>
    </xf>
    <xf numFmtId="0" fontId="25" fillId="0" borderId="29" xfId="0" applyFont="1" applyBorder="1" applyAlignment="1">
      <alignment horizontal="center" vertical="center" wrapText="1"/>
    </xf>
    <xf numFmtId="0" fontId="25" fillId="0" borderId="42" xfId="0" applyFont="1" applyBorder="1" applyAlignment="1">
      <alignment horizontal="center" vertical="center" wrapText="1"/>
    </xf>
    <xf numFmtId="0" fontId="25" fillId="0" borderId="61" xfId="0" applyFont="1" applyBorder="1" applyAlignment="1">
      <alignment horizontal="center" vertical="center" wrapText="1"/>
    </xf>
    <xf numFmtId="0" fontId="25" fillId="0" borderId="62" xfId="0" applyFont="1" applyBorder="1" applyAlignment="1">
      <alignment horizontal="center" vertical="center" wrapText="1"/>
    </xf>
    <xf numFmtId="0" fontId="25" fillId="0" borderId="63" xfId="0" applyFont="1" applyBorder="1" applyAlignment="1">
      <alignment horizontal="center" vertical="center" wrapText="1"/>
    </xf>
    <xf numFmtId="0" fontId="25" fillId="0" borderId="8" xfId="0" applyFont="1" applyBorder="1" applyAlignment="1">
      <alignment horizontal="center" vertical="center"/>
    </xf>
    <xf numFmtId="0" fontId="25" fillId="0" borderId="30" xfId="0" applyFont="1" applyBorder="1" applyAlignment="1">
      <alignment horizontal="center" vertical="center"/>
    </xf>
    <xf numFmtId="176" fontId="26" fillId="0" borderId="8" xfId="0" applyNumberFormat="1" applyFont="1" applyBorder="1" applyAlignment="1">
      <alignment vertical="center"/>
    </xf>
    <xf numFmtId="0" fontId="26" fillId="0" borderId="9" xfId="0" applyFont="1" applyBorder="1" applyAlignment="1">
      <alignment vertical="center"/>
    </xf>
    <xf numFmtId="0" fontId="26" fillId="0" borderId="14" xfId="0" applyFont="1" applyBorder="1" applyAlignment="1">
      <alignment vertical="center"/>
    </xf>
    <xf numFmtId="176" fontId="26" fillId="0" borderId="8" xfId="0" applyNumberFormat="1" applyFont="1" applyBorder="1" applyAlignment="1">
      <alignment horizontal="left" vertical="center"/>
    </xf>
    <xf numFmtId="0" fontId="33" fillId="0" borderId="9" xfId="0" applyFont="1" applyBorder="1" applyAlignment="1">
      <alignment horizontal="left" vertical="center"/>
    </xf>
    <xf numFmtId="0" fontId="33" fillId="0" borderId="14" xfId="0" applyFont="1" applyBorder="1" applyAlignment="1">
      <alignment horizontal="left" vertical="center"/>
    </xf>
    <xf numFmtId="176" fontId="26" fillId="0" borderId="9" xfId="0" applyNumberFormat="1" applyFont="1" applyBorder="1" applyAlignment="1">
      <alignment horizontal="left" vertical="center"/>
    </xf>
    <xf numFmtId="176" fontId="26" fillId="0" borderId="14" xfId="0" applyNumberFormat="1" applyFont="1" applyBorder="1" applyAlignment="1">
      <alignment horizontal="left" vertical="center"/>
    </xf>
    <xf numFmtId="0" fontId="26" fillId="0" borderId="9" xfId="0" applyFont="1" applyBorder="1" applyAlignment="1">
      <alignment horizontal="left" vertical="center"/>
    </xf>
    <xf numFmtId="0" fontId="26" fillId="0" borderId="14" xfId="0" applyFont="1" applyBorder="1" applyAlignment="1">
      <alignment horizontal="left" vertical="center"/>
    </xf>
    <xf numFmtId="176" fontId="26" fillId="0" borderId="83" xfId="0" applyNumberFormat="1" applyFont="1" applyBorder="1" applyAlignment="1">
      <alignment horizontal="left" vertical="center"/>
    </xf>
    <xf numFmtId="0" fontId="26" fillId="0" borderId="84" xfId="0" applyFont="1" applyBorder="1" applyAlignment="1">
      <alignment horizontal="left" vertical="center"/>
    </xf>
    <xf numFmtId="0" fontId="26" fillId="0" borderId="24" xfId="0" applyFont="1" applyBorder="1" applyAlignment="1">
      <alignment horizontal="left" vertical="center"/>
    </xf>
    <xf numFmtId="176" fontId="30" fillId="0" borderId="8" xfId="0" applyNumberFormat="1" applyFont="1" applyBorder="1" applyAlignment="1">
      <alignment vertical="center"/>
    </xf>
    <xf numFmtId="0" fontId="33" fillId="0" borderId="9" xfId="0" applyFont="1" applyBorder="1" applyAlignment="1">
      <alignment vertical="center"/>
    </xf>
    <xf numFmtId="0" fontId="29" fillId="0" borderId="6" xfId="0" applyFont="1" applyBorder="1" applyAlignment="1">
      <alignment horizontal="distributed" vertical="center"/>
    </xf>
    <xf numFmtId="0" fontId="29" fillId="0" borderId="6" xfId="0" applyFont="1" applyBorder="1" applyAlignment="1">
      <alignment vertical="center"/>
    </xf>
    <xf numFmtId="176" fontId="30" fillId="0" borderId="8" xfId="0" applyNumberFormat="1" applyFont="1" applyBorder="1" applyAlignment="1">
      <alignment horizontal="right" vertical="center"/>
    </xf>
    <xf numFmtId="176" fontId="30" fillId="0" borderId="9" xfId="0" applyNumberFormat="1" applyFont="1" applyBorder="1" applyAlignment="1">
      <alignment horizontal="right" vertical="center"/>
    </xf>
    <xf numFmtId="0" fontId="33" fillId="0" borderId="14" xfId="0" applyFont="1" applyBorder="1" applyAlignment="1">
      <alignment vertical="center"/>
    </xf>
    <xf numFmtId="176" fontId="30" fillId="0" borderId="8" xfId="0" applyNumberFormat="1" applyFont="1" applyBorder="1" applyAlignment="1">
      <alignment horizontal="center" vertical="center"/>
    </xf>
    <xf numFmtId="176" fontId="30" fillId="0" borderId="9" xfId="0" applyNumberFormat="1" applyFont="1" applyBorder="1" applyAlignment="1">
      <alignment horizontal="center" vertical="center"/>
    </xf>
    <xf numFmtId="176" fontId="30" fillId="0" borderId="14" xfId="0" applyNumberFormat="1" applyFont="1" applyBorder="1" applyAlignment="1">
      <alignment horizontal="center" vertical="center"/>
    </xf>
    <xf numFmtId="0" fontId="33" fillId="0" borderId="9" xfId="0" applyFont="1" applyBorder="1" applyAlignment="1">
      <alignment horizontal="right" vertical="center"/>
    </xf>
    <xf numFmtId="176" fontId="30" fillId="0" borderId="8" xfId="0" applyNumberFormat="1" applyFont="1" applyBorder="1" applyAlignment="1">
      <alignment horizontal="left" vertical="center" wrapText="1"/>
    </xf>
    <xf numFmtId="176" fontId="30" fillId="0" borderId="9" xfId="0" applyNumberFormat="1" applyFont="1" applyBorder="1" applyAlignment="1">
      <alignment horizontal="left" vertical="center" wrapText="1"/>
    </xf>
    <xf numFmtId="176" fontId="30" fillId="0" borderId="14" xfId="0" applyNumberFormat="1" applyFont="1" applyBorder="1" applyAlignment="1">
      <alignment horizontal="left" vertical="center" wrapText="1"/>
    </xf>
    <xf numFmtId="176" fontId="30" fillId="0" borderId="8" xfId="0" applyNumberFormat="1" applyFont="1" applyBorder="1" applyAlignment="1">
      <alignment horizontal="left" vertical="center"/>
    </xf>
    <xf numFmtId="176" fontId="30" fillId="0" borderId="9" xfId="0" applyNumberFormat="1" applyFont="1" applyBorder="1" applyAlignment="1">
      <alignment horizontal="left" vertical="center"/>
    </xf>
    <xf numFmtId="176" fontId="30" fillId="0" borderId="14" xfId="0" applyNumberFormat="1" applyFont="1" applyBorder="1" applyAlignment="1">
      <alignment horizontal="left" vertical="center"/>
    </xf>
    <xf numFmtId="0" fontId="29" fillId="0" borderId="15" xfId="0" applyFont="1" applyBorder="1" applyAlignment="1">
      <alignment horizontal="center" vertical="center"/>
    </xf>
    <xf numFmtId="0" fontId="29" fillId="0" borderId="26" xfId="0" applyFont="1" applyBorder="1" applyAlignment="1">
      <alignment horizontal="center" vertical="center"/>
    </xf>
    <xf numFmtId="176" fontId="26" fillId="0" borderId="15" xfId="0" applyNumberFormat="1" applyFont="1" applyBorder="1" applyAlignment="1">
      <alignment horizontal="left" vertical="center"/>
    </xf>
    <xf numFmtId="176" fontId="26" fillId="0" borderId="25" xfId="0" applyNumberFormat="1" applyFont="1" applyBorder="1" applyAlignment="1">
      <alignment horizontal="left" vertical="center"/>
    </xf>
    <xf numFmtId="176" fontId="26" fillId="0" borderId="35" xfId="0" applyNumberFormat="1" applyFont="1" applyBorder="1" applyAlignment="1">
      <alignment horizontal="left" vertical="center"/>
    </xf>
    <xf numFmtId="176" fontId="26" fillId="0" borderId="8" xfId="0" applyNumberFormat="1" applyFont="1" applyBorder="1" applyAlignment="1">
      <alignment horizontal="left" vertical="center" wrapText="1"/>
    </xf>
    <xf numFmtId="176" fontId="26" fillId="0" borderId="84" xfId="0" applyNumberFormat="1" applyFont="1" applyBorder="1" applyAlignment="1">
      <alignment horizontal="left" vertical="center"/>
    </xf>
    <xf numFmtId="176" fontId="26" fillId="0" borderId="24" xfId="0" applyNumberFormat="1" applyFont="1" applyBorder="1" applyAlignment="1">
      <alignment horizontal="left" vertical="center"/>
    </xf>
    <xf numFmtId="176" fontId="26" fillId="0" borderId="8" xfId="0" applyNumberFormat="1" applyFont="1" applyBorder="1" applyAlignment="1">
      <alignment horizontal="left" vertical="center" wrapText="1" shrinkToFit="1"/>
    </xf>
    <xf numFmtId="176" fontId="26" fillId="0" borderId="9" xfId="0" applyNumberFormat="1" applyFont="1" applyBorder="1" applyAlignment="1">
      <alignment horizontal="left" vertical="center" shrinkToFit="1"/>
    </xf>
    <xf numFmtId="176" fontId="26" fillId="0" borderId="14" xfId="0" applyNumberFormat="1" applyFont="1" applyBorder="1" applyAlignment="1">
      <alignment horizontal="left" vertical="center" shrinkToFit="1"/>
    </xf>
    <xf numFmtId="176" fontId="26" fillId="0" borderId="8" xfId="0" applyNumberFormat="1" applyFont="1" applyBorder="1" applyAlignment="1">
      <alignment horizontal="left" vertical="center" shrinkToFit="1"/>
    </xf>
    <xf numFmtId="176" fontId="26" fillId="0" borderId="8" xfId="0" applyNumberFormat="1" applyFont="1" applyBorder="1" applyAlignment="1">
      <alignment horizontal="fill" vertical="center"/>
    </xf>
    <xf numFmtId="176" fontId="26" fillId="0" borderId="9" xfId="0" applyNumberFormat="1" applyFont="1" applyBorder="1" applyAlignment="1">
      <alignment horizontal="fill" vertical="center"/>
    </xf>
    <xf numFmtId="176" fontId="26" fillId="0" borderId="14" xfId="0" applyNumberFormat="1" applyFont="1" applyBorder="1" applyAlignment="1">
      <alignment horizontal="fill" vertical="center"/>
    </xf>
    <xf numFmtId="176" fontId="30" fillId="0" borderId="85" xfId="0" applyNumberFormat="1" applyFont="1" applyBorder="1" applyAlignment="1">
      <alignment vertical="center" wrapText="1"/>
    </xf>
    <xf numFmtId="0" fontId="33" fillId="0" borderId="21" xfId="0" applyFont="1" applyBorder="1" applyAlignment="1">
      <alignment vertical="center"/>
    </xf>
    <xf numFmtId="0" fontId="33" fillId="0" borderId="23" xfId="0" applyFont="1" applyBorder="1" applyAlignment="1">
      <alignment vertical="center"/>
    </xf>
    <xf numFmtId="0" fontId="29" fillId="0" borderId="8" xfId="0" applyFont="1" applyBorder="1" applyAlignment="1">
      <alignment horizontal="center" vertical="center"/>
    </xf>
    <xf numFmtId="0" fontId="29" fillId="0" borderId="30" xfId="0" applyFont="1" applyBorder="1" applyAlignment="1">
      <alignment horizontal="center" vertical="center"/>
    </xf>
    <xf numFmtId="179" fontId="30" fillId="0" borderId="6" xfId="0" applyNumberFormat="1" applyFont="1" applyBorder="1" applyAlignment="1">
      <alignment horizontal="left" vertical="center"/>
    </xf>
    <xf numFmtId="179" fontId="30" fillId="0" borderId="33" xfId="0" applyNumberFormat="1" applyFont="1" applyBorder="1" applyAlignment="1">
      <alignment horizontal="left" vertical="center"/>
    </xf>
    <xf numFmtId="0" fontId="23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37" fillId="0" borderId="0" xfId="0" applyFont="1" applyAlignment="1">
      <alignment vertical="center"/>
    </xf>
    <xf numFmtId="0" fontId="26" fillId="0" borderId="0" xfId="0" applyFont="1" applyBorder="1" applyAlignment="1">
      <alignment horizontal="right" vertical="center"/>
    </xf>
    <xf numFmtId="0" fontId="25" fillId="0" borderId="49" xfId="0" applyFont="1" applyBorder="1" applyAlignment="1">
      <alignment horizontal="center" vertical="center"/>
    </xf>
    <xf numFmtId="0" fontId="25" fillId="0" borderId="48" xfId="0" applyFont="1" applyBorder="1" applyAlignment="1">
      <alignment horizontal="center" vertical="center" wrapText="1"/>
    </xf>
    <xf numFmtId="0" fontId="25" fillId="0" borderId="89" xfId="0" applyFont="1" applyBorder="1" applyAlignment="1">
      <alignment horizontal="center" vertical="center" wrapText="1"/>
    </xf>
    <xf numFmtId="0" fontId="25" fillId="0" borderId="7" xfId="0" applyFont="1" applyBorder="1" applyAlignment="1">
      <alignment horizontal="center" vertical="center" wrapText="1"/>
    </xf>
    <xf numFmtId="0" fontId="25" fillId="0" borderId="90" xfId="0" applyFont="1" applyBorder="1" applyAlignment="1">
      <alignment horizontal="center" vertical="center" wrapText="1"/>
    </xf>
    <xf numFmtId="0" fontId="28" fillId="0" borderId="20" xfId="0" applyFont="1" applyBorder="1" applyAlignment="1">
      <alignment horizontal="center" vertical="center"/>
    </xf>
    <xf numFmtId="0" fontId="26" fillId="0" borderId="5" xfId="0" applyFont="1" applyBorder="1" applyAlignment="1">
      <alignment horizontal="center" vertical="center"/>
    </xf>
    <xf numFmtId="179" fontId="30" fillId="0" borderId="5" xfId="0" applyNumberFormat="1" applyFont="1" applyBorder="1" applyAlignment="1">
      <alignment horizontal="left" vertical="center"/>
    </xf>
    <xf numFmtId="179" fontId="30" fillId="0" borderId="70" xfId="0" applyNumberFormat="1" applyFont="1" applyBorder="1" applyAlignment="1">
      <alignment horizontal="left" vertical="center"/>
    </xf>
    <xf numFmtId="179" fontId="26" fillId="0" borderId="8" xfId="0" applyNumberFormat="1" applyFont="1" applyBorder="1" applyAlignment="1">
      <alignment horizontal="left" vertical="center" wrapText="1"/>
    </xf>
    <xf numFmtId="179" fontId="26" fillId="0" borderId="9" xfId="0" applyNumberFormat="1" applyFont="1" applyBorder="1" applyAlignment="1">
      <alignment horizontal="left" vertical="center" wrapText="1"/>
    </xf>
    <xf numFmtId="179" fontId="26" fillId="0" borderId="14" xfId="0" applyNumberFormat="1" applyFont="1" applyBorder="1" applyAlignment="1">
      <alignment horizontal="left" vertical="center" wrapText="1"/>
    </xf>
    <xf numFmtId="179" fontId="30" fillId="0" borderId="8" xfId="0" applyNumberFormat="1" applyFont="1" applyBorder="1" applyAlignment="1">
      <alignment horizontal="center" vertical="center"/>
    </xf>
    <xf numFmtId="179" fontId="30" fillId="0" borderId="9" xfId="0" applyNumberFormat="1" applyFont="1" applyBorder="1" applyAlignment="1">
      <alignment horizontal="center" vertical="center"/>
    </xf>
    <xf numFmtId="179" fontId="30" fillId="0" borderId="14" xfId="0" applyNumberFormat="1" applyFont="1" applyBorder="1" applyAlignment="1">
      <alignment horizontal="center" vertical="center"/>
    </xf>
    <xf numFmtId="179" fontId="30" fillId="0" borderId="8" xfId="0" applyNumberFormat="1" applyFont="1" applyBorder="1" applyAlignment="1">
      <alignment horizontal="left" vertical="center"/>
    </xf>
    <xf numFmtId="179" fontId="30" fillId="0" borderId="9" xfId="0" applyNumberFormat="1" applyFont="1" applyBorder="1" applyAlignment="1">
      <alignment horizontal="left" vertical="center"/>
    </xf>
    <xf numFmtId="179" fontId="30" fillId="0" borderId="14" xfId="0" applyNumberFormat="1" applyFont="1" applyBorder="1" applyAlignment="1">
      <alignment horizontal="left" vertical="center"/>
    </xf>
    <xf numFmtId="179" fontId="30" fillId="0" borderId="8" xfId="0" applyNumberFormat="1" applyFont="1" applyBorder="1" applyAlignment="1">
      <alignment horizontal="center" vertical="center" shrinkToFit="1"/>
    </xf>
    <xf numFmtId="179" fontId="30" fillId="0" borderId="9" xfId="0" applyNumberFormat="1" applyFont="1" applyBorder="1" applyAlignment="1">
      <alignment horizontal="center" vertical="center" shrinkToFit="1"/>
    </xf>
    <xf numFmtId="179" fontId="30" fillId="0" borderId="14" xfId="0" applyNumberFormat="1" applyFont="1" applyBorder="1" applyAlignment="1">
      <alignment horizontal="center" vertical="center" shrinkToFit="1"/>
    </xf>
    <xf numFmtId="179" fontId="30" fillId="0" borderId="8" xfId="0" applyNumberFormat="1" applyFont="1" applyFill="1" applyBorder="1" applyAlignment="1">
      <alignment horizontal="left" vertical="center" shrinkToFit="1"/>
    </xf>
    <xf numFmtId="179" fontId="30" fillId="0" borderId="9" xfId="0" applyNumberFormat="1" applyFont="1" applyFill="1" applyBorder="1" applyAlignment="1">
      <alignment horizontal="left" vertical="center" shrinkToFit="1"/>
    </xf>
    <xf numFmtId="179" fontId="30" fillId="0" borderId="14" xfId="0" applyNumberFormat="1" applyFont="1" applyFill="1" applyBorder="1" applyAlignment="1">
      <alignment horizontal="left" vertical="center" shrinkToFit="1"/>
    </xf>
    <xf numFmtId="179" fontId="26" fillId="0" borderId="6" xfId="0" applyNumberFormat="1" applyFont="1" applyBorder="1" applyAlignment="1">
      <alignment horizontal="left" vertical="center" wrapText="1"/>
    </xf>
    <xf numFmtId="179" fontId="26" fillId="0" borderId="6" xfId="0" applyNumberFormat="1" applyFont="1" applyBorder="1" applyAlignment="1">
      <alignment horizontal="left" vertical="center"/>
    </xf>
    <xf numFmtId="179" fontId="26" fillId="0" borderId="33" xfId="0" applyNumberFormat="1" applyFont="1" applyBorder="1" applyAlignment="1">
      <alignment horizontal="left" vertical="center"/>
    </xf>
    <xf numFmtId="179" fontId="30" fillId="0" borderId="8" xfId="0" applyNumberFormat="1" applyFont="1" applyBorder="1" applyAlignment="1">
      <alignment horizontal="left" vertical="center" shrinkToFit="1"/>
    </xf>
    <xf numFmtId="179" fontId="30" fillId="0" borderId="9" xfId="0" applyNumberFormat="1" applyFont="1" applyBorder="1" applyAlignment="1">
      <alignment horizontal="left" vertical="center" shrinkToFit="1"/>
    </xf>
    <xf numFmtId="179" fontId="30" fillId="0" borderId="14" xfId="0" applyNumberFormat="1" applyFont="1" applyBorder="1" applyAlignment="1">
      <alignment horizontal="left" vertical="center" shrinkToFit="1"/>
    </xf>
    <xf numFmtId="179" fontId="30" fillId="0" borderId="8" xfId="0" applyNumberFormat="1" applyFont="1" applyBorder="1" applyAlignment="1">
      <alignment horizontal="left" vertical="center" wrapText="1" shrinkToFit="1"/>
    </xf>
    <xf numFmtId="179" fontId="30" fillId="0" borderId="9" xfId="0" applyNumberFormat="1" applyFont="1" applyBorder="1" applyAlignment="1">
      <alignment horizontal="left" vertical="center" wrapText="1" shrinkToFit="1"/>
    </xf>
    <xf numFmtId="179" fontId="30" fillId="0" borderId="14" xfId="0" applyNumberFormat="1" applyFont="1" applyBorder="1" applyAlignment="1">
      <alignment horizontal="left" vertical="center" wrapText="1" shrinkToFit="1"/>
    </xf>
    <xf numFmtId="179" fontId="30" fillId="0" borderId="82" xfId="0" applyNumberFormat="1" applyFont="1" applyBorder="1" applyAlignment="1">
      <alignment horizontal="left" vertical="center"/>
    </xf>
    <xf numFmtId="179" fontId="30" fillId="0" borderId="67" xfId="0" applyNumberFormat="1" applyFont="1" applyBorder="1" applyAlignment="1">
      <alignment horizontal="left" vertical="center"/>
    </xf>
    <xf numFmtId="179" fontId="30" fillId="0" borderId="15" xfId="0" applyNumberFormat="1" applyFont="1" applyBorder="1" applyAlignment="1">
      <alignment horizontal="center" vertical="center"/>
    </xf>
    <xf numFmtId="179" fontId="30" fillId="0" borderId="25" xfId="0" applyNumberFormat="1" applyFont="1" applyBorder="1" applyAlignment="1">
      <alignment horizontal="center" vertical="center"/>
    </xf>
    <xf numFmtId="179" fontId="30" fillId="0" borderId="35" xfId="0" applyNumberFormat="1" applyFont="1" applyBorder="1" applyAlignment="1">
      <alignment horizontal="center" vertical="center"/>
    </xf>
    <xf numFmtId="179" fontId="30" fillId="0" borderId="8" xfId="0" applyNumberFormat="1" applyFont="1" applyBorder="1" applyAlignment="1">
      <alignment vertical="center" wrapText="1" shrinkToFit="1"/>
    </xf>
    <xf numFmtId="179" fontId="30" fillId="0" borderId="9" xfId="0" applyNumberFormat="1" applyFont="1" applyBorder="1" applyAlignment="1">
      <alignment vertical="center" shrinkToFit="1"/>
    </xf>
    <xf numFmtId="179" fontId="30" fillId="0" borderId="14" xfId="0" applyNumberFormat="1" applyFont="1" applyBorder="1" applyAlignment="1">
      <alignment vertical="center" shrinkToFit="1"/>
    </xf>
    <xf numFmtId="176" fontId="30" fillId="0" borderId="8" xfId="0" applyNumberFormat="1" applyFont="1" applyBorder="1" applyAlignment="1">
      <alignment vertical="center" wrapText="1"/>
    </xf>
    <xf numFmtId="176" fontId="30" fillId="0" borderId="9" xfId="0" applyNumberFormat="1" applyFont="1" applyBorder="1" applyAlignment="1">
      <alignment vertical="center" wrapText="1"/>
    </xf>
    <xf numFmtId="176" fontId="30" fillId="0" borderId="14" xfId="0" applyNumberFormat="1" applyFont="1" applyBorder="1" applyAlignment="1">
      <alignment vertical="center" wrapText="1"/>
    </xf>
    <xf numFmtId="176" fontId="31" fillId="0" borderId="8" xfId="0" applyNumberFormat="1" applyFont="1" applyBorder="1" applyAlignment="1">
      <alignment horizontal="left" vertical="center" wrapText="1"/>
    </xf>
    <xf numFmtId="176" fontId="31" fillId="0" borderId="9" xfId="0" applyNumberFormat="1" applyFont="1" applyBorder="1" applyAlignment="1">
      <alignment horizontal="left" vertical="center"/>
    </xf>
    <xf numFmtId="176" fontId="31" fillId="0" borderId="14" xfId="0" applyNumberFormat="1" applyFont="1" applyBorder="1" applyAlignment="1">
      <alignment horizontal="left" vertical="center"/>
    </xf>
    <xf numFmtId="176" fontId="30" fillId="0" borderId="83" xfId="0" applyNumberFormat="1" applyFont="1" applyBorder="1" applyAlignment="1">
      <alignment vertical="center" wrapText="1"/>
    </xf>
    <xf numFmtId="176" fontId="30" fillId="0" borderId="84" xfId="0" applyNumberFormat="1" applyFont="1" applyBorder="1" applyAlignment="1">
      <alignment vertical="center" wrapText="1"/>
    </xf>
    <xf numFmtId="176" fontId="30" fillId="0" borderId="24" xfId="0" applyNumberFormat="1" applyFont="1" applyBorder="1" applyAlignment="1">
      <alignment vertical="center" wrapText="1"/>
    </xf>
    <xf numFmtId="176" fontId="30" fillId="0" borderId="138" xfId="0" applyNumberFormat="1" applyFont="1" applyBorder="1" applyAlignment="1">
      <alignment horizontal="left" vertical="center"/>
    </xf>
    <xf numFmtId="176" fontId="30" fillId="0" borderId="22" xfId="0" applyNumberFormat="1" applyFont="1" applyBorder="1" applyAlignment="1">
      <alignment horizontal="left" vertical="center"/>
    </xf>
    <xf numFmtId="176" fontId="30" fillId="0" borderId="139" xfId="0" applyNumberFormat="1" applyFont="1" applyBorder="1" applyAlignment="1">
      <alignment horizontal="left" vertical="center"/>
    </xf>
    <xf numFmtId="176" fontId="30" fillId="0" borderId="15" xfId="0" applyNumberFormat="1" applyFont="1" applyBorder="1" applyAlignment="1">
      <alignment horizontal="center" vertical="center"/>
    </xf>
    <xf numFmtId="176" fontId="30" fillId="0" borderId="25" xfId="0" applyNumberFormat="1" applyFont="1" applyBorder="1" applyAlignment="1">
      <alignment horizontal="center" vertical="center"/>
    </xf>
    <xf numFmtId="176" fontId="30" fillId="0" borderId="35" xfId="0" applyNumberFormat="1" applyFont="1" applyBorder="1" applyAlignment="1">
      <alignment horizontal="center" vertical="center"/>
    </xf>
    <xf numFmtId="179" fontId="30" fillId="0" borderId="83" xfId="0" applyNumberFormat="1" applyFont="1" applyBorder="1" applyAlignment="1">
      <alignment horizontal="left" vertical="center"/>
    </xf>
    <xf numFmtId="179" fontId="30" fillId="0" borderId="84" xfId="0" applyNumberFormat="1" applyFont="1" applyBorder="1" applyAlignment="1">
      <alignment horizontal="left" vertical="center"/>
    </xf>
    <xf numFmtId="179" fontId="30" fillId="0" borderId="24" xfId="0" applyNumberFormat="1" applyFont="1" applyBorder="1" applyAlignment="1">
      <alignment horizontal="left" vertical="center"/>
    </xf>
    <xf numFmtId="0" fontId="26" fillId="0" borderId="8" xfId="0" applyFont="1" applyBorder="1" applyAlignment="1">
      <alignment horizontal="center" vertical="center"/>
    </xf>
    <xf numFmtId="0" fontId="26" fillId="0" borderId="30" xfId="0" applyFont="1" applyBorder="1" applyAlignment="1">
      <alignment horizontal="center" vertical="center"/>
    </xf>
    <xf numFmtId="179" fontId="30" fillId="0" borderId="5" xfId="0" applyNumberFormat="1" applyFont="1" applyBorder="1" applyAlignment="1">
      <alignment horizontal="left" vertical="center" shrinkToFit="1"/>
    </xf>
    <xf numFmtId="179" fontId="30" fillId="0" borderId="70" xfId="0" applyNumberFormat="1" applyFont="1" applyBorder="1" applyAlignment="1">
      <alignment horizontal="left" vertical="center" shrinkToFit="1"/>
    </xf>
    <xf numFmtId="0" fontId="26" fillId="12" borderId="8" xfId="0" applyFont="1" applyFill="1" applyBorder="1" applyAlignment="1">
      <alignment horizontal="center" vertical="center"/>
    </xf>
    <xf numFmtId="0" fontId="26" fillId="12" borderId="30" xfId="0" applyFont="1" applyFill="1" applyBorder="1" applyAlignment="1">
      <alignment horizontal="center" vertical="center"/>
    </xf>
    <xf numFmtId="179" fontId="30" fillId="12" borderId="6" xfId="0" applyNumberFormat="1" applyFont="1" applyFill="1" applyBorder="1" applyAlignment="1">
      <alignment horizontal="left" vertical="center" shrinkToFit="1"/>
    </xf>
    <xf numFmtId="179" fontId="30" fillId="12" borderId="33" xfId="0" applyNumberFormat="1" applyFont="1" applyFill="1" applyBorder="1" applyAlignment="1">
      <alignment horizontal="left" vertical="center" shrinkToFit="1"/>
    </xf>
    <xf numFmtId="179" fontId="30" fillId="0" borderId="6" xfId="0" applyNumberFormat="1" applyFont="1" applyBorder="1" applyAlignment="1">
      <alignment horizontal="left" vertical="center" shrinkToFit="1"/>
    </xf>
    <xf numFmtId="179" fontId="30" fillId="0" borderId="33" xfId="0" applyNumberFormat="1" applyFont="1" applyBorder="1" applyAlignment="1">
      <alignment horizontal="left" vertical="center" shrinkToFit="1"/>
    </xf>
    <xf numFmtId="176" fontId="30" fillId="0" borderId="8" xfId="0" applyNumberFormat="1" applyFont="1" applyFill="1" applyBorder="1" applyAlignment="1">
      <alignment horizontal="left" vertical="center" wrapText="1"/>
    </xf>
    <xf numFmtId="176" fontId="30" fillId="0" borderId="9" xfId="0" applyNumberFormat="1" applyFont="1" applyFill="1" applyBorder="1" applyAlignment="1">
      <alignment horizontal="left" vertical="center" wrapText="1"/>
    </xf>
    <xf numFmtId="176" fontId="30" fillId="0" borderId="14" xfId="0" applyNumberFormat="1" applyFont="1" applyFill="1" applyBorder="1" applyAlignment="1">
      <alignment horizontal="left" vertical="center" wrapText="1"/>
    </xf>
    <xf numFmtId="0" fontId="26" fillId="12" borderId="15" xfId="0" applyFont="1" applyFill="1" applyBorder="1" applyAlignment="1">
      <alignment horizontal="center" vertical="center"/>
    </xf>
    <xf numFmtId="0" fontId="26" fillId="12" borderId="26" xfId="0" applyFont="1" applyFill="1" applyBorder="1" applyAlignment="1">
      <alignment horizontal="center" vertical="center"/>
    </xf>
    <xf numFmtId="179" fontId="30" fillId="12" borderId="15" xfId="0" applyNumberFormat="1" applyFont="1" applyFill="1" applyBorder="1" applyAlignment="1">
      <alignment horizontal="center" vertical="center" shrinkToFit="1"/>
    </xf>
    <xf numFmtId="179" fontId="30" fillId="12" borderId="25" xfId="0" applyNumberFormat="1" applyFont="1" applyFill="1" applyBorder="1" applyAlignment="1">
      <alignment horizontal="center" vertical="center" shrinkToFit="1"/>
    </xf>
    <xf numFmtId="179" fontId="30" fillId="12" borderId="35" xfId="0" applyNumberFormat="1" applyFont="1" applyFill="1" applyBorder="1" applyAlignment="1">
      <alignment horizontal="center" vertical="center" shrinkToFit="1"/>
    </xf>
    <xf numFmtId="0" fontId="26" fillId="12" borderId="8" xfId="0" applyFont="1" applyFill="1" applyBorder="1" applyAlignment="1">
      <alignment horizontal="distributed" vertical="center"/>
    </xf>
    <xf numFmtId="0" fontId="26" fillId="12" borderId="30" xfId="0" applyFont="1" applyFill="1" applyBorder="1" applyAlignment="1">
      <alignment horizontal="distributed" vertical="center"/>
    </xf>
    <xf numFmtId="176" fontId="30" fillId="0" borderId="8" xfId="0" applyNumberFormat="1" applyFont="1" applyBorder="1" applyAlignment="1">
      <alignment horizontal="left" vertical="center" shrinkToFit="1"/>
    </xf>
    <xf numFmtId="176" fontId="30" fillId="0" borderId="9" xfId="0" applyNumberFormat="1" applyFont="1" applyBorder="1" applyAlignment="1">
      <alignment horizontal="left" vertical="center" shrinkToFit="1"/>
    </xf>
    <xf numFmtId="176" fontId="30" fillId="0" borderId="14" xfId="0" applyNumberFormat="1" applyFont="1" applyBorder="1" applyAlignment="1">
      <alignment horizontal="left" vertical="center" shrinkToFit="1"/>
    </xf>
    <xf numFmtId="179" fontId="30" fillId="0" borderId="82" xfId="0" applyNumberFormat="1" applyFont="1" applyBorder="1" applyAlignment="1">
      <alignment horizontal="left" vertical="center" shrinkToFit="1"/>
    </xf>
    <xf numFmtId="179" fontId="30" fillId="0" borderId="67" xfId="0" applyNumberFormat="1" applyFont="1" applyBorder="1" applyAlignment="1">
      <alignment horizontal="left" vertical="center" shrinkToFit="1"/>
    </xf>
    <xf numFmtId="176" fontId="30" fillId="0" borderId="8" xfId="0" applyNumberFormat="1" applyFont="1" applyBorder="1" applyAlignment="1">
      <alignment horizontal="center" vertical="center" shrinkToFit="1"/>
    </xf>
    <xf numFmtId="176" fontId="30" fillId="0" borderId="9" xfId="0" applyNumberFormat="1" applyFont="1" applyBorder="1" applyAlignment="1">
      <alignment horizontal="center" vertical="center" shrinkToFit="1"/>
    </xf>
    <xf numFmtId="176" fontId="30" fillId="0" borderId="14" xfId="0" applyNumberFormat="1" applyFont="1" applyBorder="1" applyAlignment="1">
      <alignment horizontal="center" vertical="center" shrinkToFit="1"/>
    </xf>
    <xf numFmtId="176" fontId="30" fillId="0" borderId="8" xfId="0" applyNumberFormat="1" applyFont="1" applyBorder="1" applyAlignment="1">
      <alignment vertical="center" wrapText="1" shrinkToFit="1"/>
    </xf>
    <xf numFmtId="176" fontId="30" fillId="0" borderId="9" xfId="0" applyNumberFormat="1" applyFont="1" applyBorder="1" applyAlignment="1">
      <alignment vertical="center" wrapText="1" shrinkToFit="1"/>
    </xf>
    <xf numFmtId="176" fontId="30" fillId="0" borderId="14" xfId="0" applyNumberFormat="1" applyFont="1" applyBorder="1" applyAlignment="1">
      <alignment vertical="center" wrapText="1" shrinkToFit="1"/>
    </xf>
    <xf numFmtId="176" fontId="30" fillId="0" borderId="8" xfId="0" applyNumberFormat="1" applyFont="1" applyBorder="1" applyAlignment="1">
      <alignment horizontal="left" vertical="center" wrapText="1" shrinkToFit="1"/>
    </xf>
    <xf numFmtId="179" fontId="30" fillId="12" borderId="15" xfId="0" applyNumberFormat="1" applyFont="1" applyFill="1" applyBorder="1" applyAlignment="1">
      <alignment horizontal="left" vertical="center" shrinkToFit="1"/>
    </xf>
    <xf numFmtId="179" fontId="30" fillId="12" borderId="25" xfId="0" applyNumberFormat="1" applyFont="1" applyFill="1" applyBorder="1" applyAlignment="1">
      <alignment horizontal="left" vertical="center" shrinkToFit="1"/>
    </xf>
    <xf numFmtId="179" fontId="30" fillId="12" borderId="35" xfId="0" applyNumberFormat="1" applyFont="1" applyFill="1" applyBorder="1" applyAlignment="1">
      <alignment horizontal="left" vertical="center" shrinkToFit="1"/>
    </xf>
    <xf numFmtId="176" fontId="26" fillId="0" borderId="9" xfId="0" applyNumberFormat="1" applyFont="1" applyBorder="1" applyAlignment="1">
      <alignment horizontal="left" vertical="center" wrapText="1"/>
    </xf>
    <xf numFmtId="176" fontId="26" fillId="0" borderId="14" xfId="0" applyNumberFormat="1" applyFont="1" applyBorder="1" applyAlignment="1">
      <alignment horizontal="left" vertical="center" wrapText="1"/>
    </xf>
    <xf numFmtId="179" fontId="26" fillId="0" borderId="8" xfId="0" applyNumberFormat="1" applyFont="1" applyBorder="1" applyAlignment="1">
      <alignment horizontal="left" vertical="center" wrapText="1" shrinkToFit="1"/>
    </xf>
    <xf numFmtId="179" fontId="26" fillId="0" borderId="9" xfId="0" applyNumberFormat="1" applyFont="1" applyBorder="1" applyAlignment="1">
      <alignment horizontal="left" vertical="center" shrinkToFit="1"/>
    </xf>
    <xf numFmtId="179" fontId="26" fillId="0" borderId="14" xfId="0" applyNumberFormat="1" applyFont="1" applyBorder="1" applyAlignment="1">
      <alignment horizontal="left" vertical="center" shrinkToFit="1"/>
    </xf>
    <xf numFmtId="179" fontId="30" fillId="0" borderId="15" xfId="0" applyNumberFormat="1" applyFont="1" applyBorder="1" applyAlignment="1">
      <alignment horizontal="left" vertical="center" shrinkToFit="1"/>
    </xf>
    <xf numFmtId="179" fontId="30" fillId="0" borderId="25" xfId="0" applyNumberFormat="1" applyFont="1" applyBorder="1" applyAlignment="1">
      <alignment horizontal="left" vertical="center" shrinkToFit="1"/>
    </xf>
    <xf numFmtId="179" fontId="30" fillId="0" borderId="35" xfId="0" applyNumberFormat="1" applyFont="1" applyBorder="1" applyAlignment="1">
      <alignment horizontal="left" vertical="center" shrinkToFit="1"/>
    </xf>
    <xf numFmtId="179" fontId="30" fillId="0" borderId="83" xfId="0" applyNumberFormat="1" applyFont="1" applyBorder="1" applyAlignment="1">
      <alignment horizontal="left" vertical="center" shrinkToFit="1"/>
    </xf>
    <xf numFmtId="179" fontId="30" fillId="0" borderId="84" xfId="0" applyNumberFormat="1" applyFont="1" applyBorder="1" applyAlignment="1">
      <alignment horizontal="left" vertical="center" shrinkToFit="1"/>
    </xf>
    <xf numFmtId="179" fontId="30" fillId="0" borderId="24" xfId="0" applyNumberFormat="1" applyFont="1" applyBorder="1" applyAlignment="1">
      <alignment horizontal="left" vertical="center" shrinkToFit="1"/>
    </xf>
    <xf numFmtId="0" fontId="26" fillId="0" borderId="15" xfId="0" applyFont="1" applyBorder="1" applyAlignment="1">
      <alignment horizontal="center" vertical="center"/>
    </xf>
    <xf numFmtId="0" fontId="26" fillId="0" borderId="26" xfId="0" applyFont="1" applyBorder="1" applyAlignment="1">
      <alignment horizontal="center" vertical="center"/>
    </xf>
    <xf numFmtId="179" fontId="30" fillId="0" borderId="3" xfId="0" applyNumberFormat="1" applyFont="1" applyBorder="1" applyAlignment="1">
      <alignment horizontal="left" vertical="center" shrinkToFit="1"/>
    </xf>
    <xf numFmtId="179" fontId="30" fillId="0" borderId="36" xfId="0" applyNumberFormat="1" applyFont="1" applyBorder="1" applyAlignment="1">
      <alignment horizontal="left" vertical="center" shrinkToFit="1"/>
    </xf>
    <xf numFmtId="0" fontId="25" fillId="0" borderId="47" xfId="0" applyFont="1" applyBorder="1" applyAlignment="1">
      <alignment horizontal="center" vertical="center"/>
    </xf>
    <xf numFmtId="0" fontId="29" fillId="0" borderId="48" xfId="0" applyFont="1" applyBorder="1" applyAlignment="1">
      <alignment horizontal="center" vertical="center"/>
    </xf>
    <xf numFmtId="0" fontId="29" fillId="0" borderId="6" xfId="0" applyFont="1" applyBorder="1" applyAlignment="1">
      <alignment horizontal="center" vertical="center"/>
    </xf>
    <xf numFmtId="0" fontId="29" fillId="12" borderId="6" xfId="0" applyFont="1" applyFill="1" applyBorder="1" applyAlignment="1">
      <alignment horizontal="center" vertical="center"/>
    </xf>
    <xf numFmtId="0" fontId="25" fillId="0" borderId="89" xfId="0" applyFont="1" applyBorder="1" applyAlignment="1">
      <alignment horizontal="center" vertical="center"/>
    </xf>
    <xf numFmtId="0" fontId="25" fillId="0" borderId="90" xfId="0" applyFont="1" applyBorder="1" applyAlignment="1">
      <alignment horizontal="center" vertical="center"/>
    </xf>
    <xf numFmtId="0" fontId="25" fillId="0" borderId="5" xfId="0" applyFont="1" applyBorder="1" applyAlignment="1">
      <alignment horizontal="center" vertical="center"/>
    </xf>
    <xf numFmtId="0" fontId="29" fillId="12" borderId="8" xfId="0" applyFont="1" applyFill="1" applyBorder="1" applyAlignment="1">
      <alignment horizontal="distributed" vertical="center"/>
    </xf>
    <xf numFmtId="0" fontId="29" fillId="12" borderId="30" xfId="0" applyFont="1" applyFill="1" applyBorder="1" applyAlignment="1">
      <alignment horizontal="distributed" vertical="center"/>
    </xf>
    <xf numFmtId="0" fontId="29" fillId="0" borderId="9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 shrinkToFit="1"/>
    </xf>
    <xf numFmtId="0" fontId="37" fillId="0" borderId="0" xfId="0" applyFont="1" applyAlignment="1">
      <alignment horizontal="center" vertical="center" shrinkToFit="1"/>
    </xf>
    <xf numFmtId="0" fontId="22" fillId="0" borderId="0" xfId="0" applyFont="1" applyAlignment="1">
      <alignment horizontal="center" vertical="center" shrinkToFit="1"/>
    </xf>
    <xf numFmtId="0" fontId="38" fillId="0" borderId="0" xfId="0" applyFont="1" applyAlignment="1">
      <alignment horizontal="center" vertical="center" shrinkToFit="1"/>
    </xf>
    <xf numFmtId="0" fontId="21" fillId="0" borderId="95" xfId="0" applyFont="1" applyBorder="1" applyAlignment="1">
      <alignment horizontal="center" vertical="center"/>
    </xf>
    <xf numFmtId="0" fontId="37" fillId="0" borderId="96" xfId="0" applyFont="1" applyBorder="1" applyAlignment="1">
      <alignment horizontal="center" vertical="center"/>
    </xf>
    <xf numFmtId="0" fontId="22" fillId="0" borderId="97" xfId="0" applyFont="1" applyBorder="1" applyAlignment="1">
      <alignment horizontal="center" vertical="center"/>
    </xf>
    <xf numFmtId="0" fontId="22" fillId="0" borderId="96" xfId="0" applyFont="1" applyBorder="1" applyAlignment="1">
      <alignment horizontal="center" vertical="center"/>
    </xf>
    <xf numFmtId="0" fontId="22" fillId="0" borderId="98" xfId="0" applyFont="1" applyBorder="1" applyAlignment="1">
      <alignment horizontal="center" vertical="center"/>
    </xf>
    <xf numFmtId="0" fontId="25" fillId="0" borderId="47" xfId="0" applyFont="1" applyBorder="1" applyAlignment="1">
      <alignment horizontal="center" vertical="center" shrinkToFit="1"/>
    </xf>
    <xf numFmtId="0" fontId="29" fillId="0" borderId="48" xfId="0" applyFont="1" applyBorder="1" applyAlignment="1">
      <alignment horizontal="center" vertical="center" shrinkToFit="1"/>
    </xf>
    <xf numFmtId="0" fontId="25" fillId="0" borderId="56" xfId="0" applyFont="1" applyBorder="1" applyAlignment="1">
      <alignment horizontal="center" vertical="center" shrinkToFit="1"/>
    </xf>
    <xf numFmtId="0" fontId="29" fillId="0" borderId="6" xfId="0" applyFont="1" applyBorder="1" applyAlignment="1">
      <alignment horizontal="center" vertical="center" shrinkToFit="1"/>
    </xf>
    <xf numFmtId="0" fontId="25" fillId="0" borderId="57" xfId="0" applyFont="1" applyBorder="1" applyAlignment="1">
      <alignment horizontal="center" vertical="center" wrapText="1"/>
    </xf>
    <xf numFmtId="0" fontId="25" fillId="0" borderId="20" xfId="0" applyFont="1" applyBorder="1" applyAlignment="1">
      <alignment horizontal="center" vertical="center" shrinkToFit="1"/>
    </xf>
    <xf numFmtId="0" fontId="25" fillId="0" borderId="5" xfId="0" applyFont="1" applyBorder="1" applyAlignment="1">
      <alignment horizontal="center" vertical="center" shrinkToFit="1"/>
    </xf>
    <xf numFmtId="0" fontId="25" fillId="0" borderId="101" xfId="0" applyFont="1" applyBorder="1" applyAlignment="1">
      <alignment horizontal="center" vertical="center" shrinkToFit="1"/>
    </xf>
  </cellXfs>
  <cellStyles count="24">
    <cellStyle name="Header1" xfId="9"/>
    <cellStyle name="Header2" xfId="10"/>
    <cellStyle name="백분율 2" xfId="23"/>
    <cellStyle name="쉼표 [0]" xfId="1" builtinId="6"/>
    <cellStyle name="쉼표 [0] 10" xfId="22"/>
    <cellStyle name="쉼표 [0] 2" xfId="2"/>
    <cellStyle name="쉼표 [0] 2 2" xfId="11"/>
    <cellStyle name="쉼표 [0] 2 2 2" xfId="15"/>
    <cellStyle name="쉼표 [0] 2 3" xfId="13"/>
    <cellStyle name="쉼표 [0] 3" xfId="3"/>
    <cellStyle name="쉼표 [0] 3 2" xfId="14"/>
    <cellStyle name="쉼표 [0] 4" xfId="12"/>
    <cellStyle name="쉼표 [0] 5" xfId="18"/>
    <cellStyle name="콤마 [0]_95" xfId="4"/>
    <cellStyle name="콤마_95" xfId="5"/>
    <cellStyle name="통화 [0]" xfId="16" builtinId="7"/>
    <cellStyle name="표준" xfId="0" builtinId="0"/>
    <cellStyle name="표준 2" xfId="6"/>
    <cellStyle name="표준 2 2" xfId="7"/>
    <cellStyle name="표준 3" xfId="8"/>
    <cellStyle name="표준 4" xfId="17"/>
    <cellStyle name="표준 5" xfId="19"/>
    <cellStyle name="표준 6" xfId="20"/>
    <cellStyle name="표준_2006년 푸드뱅크 보조금신청서" xfId="21"/>
  </cellStyles>
  <dxfs count="0"/>
  <tableStyles count="0" defaultTableStyle="TableStyleMedium9" defaultPivotStyle="PivotStyleLight16"/>
  <colors>
    <mruColors>
      <color rgb="FFE7ED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28</xdr:row>
      <xdr:rowOff>0</xdr:rowOff>
    </xdr:from>
    <xdr:to>
      <xdr:col>12</xdr:col>
      <xdr:colOff>0</xdr:colOff>
      <xdr:row>28</xdr:row>
      <xdr:rowOff>0</xdr:rowOff>
    </xdr:to>
    <xdr:sp macro="" textlink="">
      <xdr:nvSpPr>
        <xdr:cNvPr id="161263" name="Line 1"/>
        <xdr:cNvSpPr>
          <a:spLocks noChangeShapeType="1"/>
        </xdr:cNvSpPr>
      </xdr:nvSpPr>
      <xdr:spPr bwMode="auto">
        <a:xfrm flipH="1">
          <a:off x="8658225" y="5991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0</xdr:colOff>
      <xdr:row>14</xdr:row>
      <xdr:rowOff>0</xdr:rowOff>
    </xdr:from>
    <xdr:to>
      <xdr:col>12</xdr:col>
      <xdr:colOff>0</xdr:colOff>
      <xdr:row>14</xdr:row>
      <xdr:rowOff>0</xdr:rowOff>
    </xdr:to>
    <xdr:sp macro="" textlink="">
      <xdr:nvSpPr>
        <xdr:cNvPr id="161264" name="Line 2"/>
        <xdr:cNvSpPr>
          <a:spLocks noChangeShapeType="1"/>
        </xdr:cNvSpPr>
      </xdr:nvSpPr>
      <xdr:spPr bwMode="auto">
        <a:xfrm>
          <a:off x="8658225" y="332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0</xdr:colOff>
      <xdr:row>28</xdr:row>
      <xdr:rowOff>0</xdr:rowOff>
    </xdr:from>
    <xdr:to>
      <xdr:col>12</xdr:col>
      <xdr:colOff>0</xdr:colOff>
      <xdr:row>28</xdr:row>
      <xdr:rowOff>0</xdr:rowOff>
    </xdr:to>
    <xdr:sp macro="" textlink="">
      <xdr:nvSpPr>
        <xdr:cNvPr id="161265" name="Line 3"/>
        <xdr:cNvSpPr>
          <a:spLocks noChangeShapeType="1"/>
        </xdr:cNvSpPr>
      </xdr:nvSpPr>
      <xdr:spPr bwMode="auto">
        <a:xfrm>
          <a:off x="8658225" y="5991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0</xdr:colOff>
      <xdr:row>28</xdr:row>
      <xdr:rowOff>0</xdr:rowOff>
    </xdr:from>
    <xdr:to>
      <xdr:col>12</xdr:col>
      <xdr:colOff>0</xdr:colOff>
      <xdr:row>28</xdr:row>
      <xdr:rowOff>0</xdr:rowOff>
    </xdr:to>
    <xdr:sp macro="" textlink="">
      <xdr:nvSpPr>
        <xdr:cNvPr id="161266" name="Line 4"/>
        <xdr:cNvSpPr>
          <a:spLocks noChangeShapeType="1"/>
        </xdr:cNvSpPr>
      </xdr:nvSpPr>
      <xdr:spPr bwMode="auto">
        <a:xfrm flipH="1" flipV="1">
          <a:off x="8658225" y="5991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12</xdr:col>
      <xdr:colOff>0</xdr:colOff>
      <xdr:row>14</xdr:row>
      <xdr:rowOff>0</xdr:rowOff>
    </xdr:from>
    <xdr:to>
      <xdr:col>12</xdr:col>
      <xdr:colOff>0</xdr:colOff>
      <xdr:row>14</xdr:row>
      <xdr:rowOff>0</xdr:rowOff>
    </xdr:to>
    <xdr:sp macro="" textlink="">
      <xdr:nvSpPr>
        <xdr:cNvPr id="161267" name="Line 7"/>
        <xdr:cNvSpPr>
          <a:spLocks noChangeShapeType="1"/>
        </xdr:cNvSpPr>
      </xdr:nvSpPr>
      <xdr:spPr bwMode="auto">
        <a:xfrm>
          <a:off x="8658225" y="3324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579</xdr:row>
      <xdr:rowOff>0</xdr:rowOff>
    </xdr:from>
    <xdr:to>
      <xdr:col>5</xdr:col>
      <xdr:colOff>0</xdr:colOff>
      <xdr:row>579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>
          <a:off x="10868025" y="590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501</xdr:row>
      <xdr:rowOff>0</xdr:rowOff>
    </xdr:from>
    <xdr:to>
      <xdr:col>5</xdr:col>
      <xdr:colOff>0</xdr:colOff>
      <xdr:row>501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10868025" y="2971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579</xdr:row>
      <xdr:rowOff>0</xdr:rowOff>
    </xdr:from>
    <xdr:to>
      <xdr:col>5</xdr:col>
      <xdr:colOff>0</xdr:colOff>
      <xdr:row>579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0868025" y="590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579</xdr:row>
      <xdr:rowOff>0</xdr:rowOff>
    </xdr:from>
    <xdr:to>
      <xdr:col>5</xdr:col>
      <xdr:colOff>0</xdr:colOff>
      <xdr:row>579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 flipH="1" flipV="1">
          <a:off x="10868025" y="5905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5</xdr:col>
      <xdr:colOff>0</xdr:colOff>
      <xdr:row>501</xdr:row>
      <xdr:rowOff>0</xdr:rowOff>
    </xdr:from>
    <xdr:to>
      <xdr:col>5</xdr:col>
      <xdr:colOff>0</xdr:colOff>
      <xdr:row>501</xdr:row>
      <xdr:rowOff>0</xdr:rowOff>
    </xdr:to>
    <xdr:sp macro="" textlink="">
      <xdr:nvSpPr>
        <xdr:cNvPr id="6" name="Line 7"/>
        <xdr:cNvSpPr>
          <a:spLocks noChangeShapeType="1"/>
        </xdr:cNvSpPr>
      </xdr:nvSpPr>
      <xdr:spPr bwMode="auto">
        <a:xfrm>
          <a:off x="10868025" y="2971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0</xdr:colOff>
      <xdr:row>27</xdr:row>
      <xdr:rowOff>0</xdr:rowOff>
    </xdr:from>
    <xdr:to>
      <xdr:col>13</xdr:col>
      <xdr:colOff>0</xdr:colOff>
      <xdr:row>27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 flipH="1">
          <a:off x="10868025" y="610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0</xdr:colOff>
      <xdr:row>13</xdr:row>
      <xdr:rowOff>0</xdr:rowOff>
    </xdr:from>
    <xdr:to>
      <xdr:col>13</xdr:col>
      <xdr:colOff>0</xdr:colOff>
      <xdr:row>13</xdr:row>
      <xdr:rowOff>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10868025" y="3038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0</xdr:colOff>
      <xdr:row>27</xdr:row>
      <xdr:rowOff>0</xdr:rowOff>
    </xdr:from>
    <xdr:to>
      <xdr:col>13</xdr:col>
      <xdr:colOff>0</xdr:colOff>
      <xdr:row>27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0868025" y="610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0</xdr:colOff>
      <xdr:row>27</xdr:row>
      <xdr:rowOff>0</xdr:rowOff>
    </xdr:from>
    <xdr:to>
      <xdr:col>13</xdr:col>
      <xdr:colOff>0</xdr:colOff>
      <xdr:row>27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 flipH="1" flipV="1">
          <a:off x="10868025" y="6105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13</xdr:col>
      <xdr:colOff>0</xdr:colOff>
      <xdr:row>13</xdr:row>
      <xdr:rowOff>0</xdr:rowOff>
    </xdr:from>
    <xdr:to>
      <xdr:col>13</xdr:col>
      <xdr:colOff>0</xdr:colOff>
      <xdr:row>13</xdr:row>
      <xdr:rowOff>0</xdr:rowOff>
    </xdr:to>
    <xdr:sp macro="" textlink="">
      <xdr:nvSpPr>
        <xdr:cNvPr id="6" name="Line 7"/>
        <xdr:cNvSpPr>
          <a:spLocks noChangeShapeType="1"/>
        </xdr:cNvSpPr>
      </xdr:nvSpPr>
      <xdr:spPr bwMode="auto">
        <a:xfrm>
          <a:off x="10868025" y="30384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2020&#45380;%20&#50696;&#49328;/2020&#45380;%201&#52264;&#52628;&#44221;%20&#49464;&#51077;.&#49464;&#52636;&#50696;&#49328;&#49436;(&#50504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가.예산총칙"/>
      <sheetName val="나.세입세출(총괄)"/>
      <sheetName val="다.국도시세입"/>
      <sheetName val="다-1.도시(군)세입"/>
      <sheetName val="다-2.자부담세입"/>
      <sheetName val="다-3.후원금세입"/>
      <sheetName val="라.국도비세출"/>
      <sheetName val="라-1.도시(군)세출"/>
      <sheetName val="라-2.자부담세출"/>
      <sheetName val="라-3.후원금세출"/>
      <sheetName val="마.개요"/>
      <sheetName val="바.증감사유"/>
      <sheetName val="예산증감내역"/>
      <sheetName val="인건비총계표(보조금)"/>
      <sheetName val="인건비총계표(자부담)"/>
      <sheetName val="인건비총계표(후원금)"/>
      <sheetName val="인건비(후원금)"/>
      <sheetName val="생활보장급여"/>
      <sheetName val="4종"/>
      <sheetName val="Sheet1"/>
      <sheetName val="Sheet2"/>
    </sheetNames>
    <sheetDataSet>
      <sheetData sheetId="0"/>
      <sheetData sheetId="1"/>
      <sheetData sheetId="2">
        <row r="4">
          <cell r="D4" t="str">
            <v>당초예산
( A )</v>
          </cell>
          <cell r="E4" t="str">
            <v>1차추경
( B )</v>
          </cell>
        </row>
        <row r="5">
          <cell r="D5"/>
          <cell r="E5"/>
        </row>
      </sheetData>
      <sheetData sheetId="3">
        <row r="4">
          <cell r="E4" t="str">
            <v>당초예산
( A )</v>
          </cell>
          <cell r="F4" t="str">
            <v>1차추경
( B )</v>
          </cell>
        </row>
        <row r="5">
          <cell r="E5"/>
          <cell r="F5"/>
        </row>
        <row r="6">
          <cell r="F6">
            <v>2767810000</v>
          </cell>
        </row>
        <row r="12">
          <cell r="F12">
            <v>0</v>
          </cell>
        </row>
        <row r="14">
          <cell r="B14" t="str">
            <v>보조금수입</v>
          </cell>
        </row>
        <row r="15">
          <cell r="F15">
            <v>1933028813</v>
          </cell>
        </row>
        <row r="20">
          <cell r="C20" t="str">
            <v>시도보조금(30%)</v>
          </cell>
          <cell r="E20">
            <v>717435756</v>
          </cell>
          <cell r="F20">
            <v>829040577</v>
          </cell>
        </row>
        <row r="28">
          <cell r="F28"/>
        </row>
        <row r="29">
          <cell r="F29">
            <v>0</v>
          </cell>
        </row>
        <row r="30">
          <cell r="F30"/>
        </row>
        <row r="31">
          <cell r="F31">
            <v>0</v>
          </cell>
        </row>
        <row r="34">
          <cell r="F34">
            <v>5170000</v>
          </cell>
        </row>
        <row r="35">
          <cell r="F35">
            <v>0</v>
          </cell>
        </row>
        <row r="38">
          <cell r="F38">
            <v>0</v>
          </cell>
        </row>
        <row r="39">
          <cell r="F39">
            <v>570610</v>
          </cell>
        </row>
        <row r="40">
          <cell r="F40">
            <v>0</v>
          </cell>
        </row>
      </sheetData>
      <sheetData sheetId="4">
        <row r="14">
          <cell r="E14">
            <v>194551300</v>
          </cell>
          <cell r="F14">
            <v>197380630</v>
          </cell>
        </row>
        <row r="22">
          <cell r="C22" t="str">
            <v>기타보조금</v>
          </cell>
          <cell r="E22">
            <v>6720000</v>
          </cell>
          <cell r="F22">
            <v>6720000</v>
          </cell>
        </row>
        <row r="23">
          <cell r="F23">
            <v>3343190</v>
          </cell>
        </row>
        <row r="25">
          <cell r="F25">
            <v>3343190</v>
          </cell>
        </row>
        <row r="30">
          <cell r="F30">
            <v>66180</v>
          </cell>
        </row>
      </sheetData>
      <sheetData sheetId="5">
        <row r="4">
          <cell r="D4" t="str">
            <v>당초예산
( A )</v>
          </cell>
          <cell r="E4" t="str">
            <v>1차추경
( B )</v>
          </cell>
        </row>
        <row r="5">
          <cell r="D5"/>
          <cell r="E5"/>
        </row>
        <row r="6">
          <cell r="E6">
            <v>256950000</v>
          </cell>
        </row>
        <row r="8">
          <cell r="E8">
            <v>134400000</v>
          </cell>
        </row>
        <row r="9">
          <cell r="E9">
            <v>134400000</v>
          </cell>
        </row>
        <row r="12">
          <cell r="E12">
            <v>0</v>
          </cell>
        </row>
        <row r="13">
          <cell r="E13">
            <v>0</v>
          </cell>
        </row>
        <row r="15">
          <cell r="E15">
            <v>0</v>
          </cell>
        </row>
        <row r="17">
          <cell r="E17">
            <v>0</v>
          </cell>
        </row>
        <row r="20">
          <cell r="E20">
            <v>0</v>
          </cell>
        </row>
        <row r="25">
          <cell r="E25">
            <v>40000000</v>
          </cell>
        </row>
        <row r="28">
          <cell r="E28">
            <v>22433122</v>
          </cell>
        </row>
        <row r="29">
          <cell r="E29">
            <v>0</v>
          </cell>
        </row>
        <row r="32">
          <cell r="E32">
            <v>500000</v>
          </cell>
        </row>
        <row r="33">
          <cell r="E33">
            <v>566878</v>
          </cell>
        </row>
        <row r="34">
          <cell r="E34">
            <v>59050000</v>
          </cell>
        </row>
      </sheetData>
      <sheetData sheetId="6">
        <row r="4">
          <cell r="D4" t="str">
            <v>당초예산
( A )</v>
          </cell>
          <cell r="E4" t="str">
            <v>1차추경
( B )</v>
          </cell>
        </row>
        <row r="5">
          <cell r="D5"/>
          <cell r="E5"/>
        </row>
        <row r="6">
          <cell r="E6">
            <v>401500000</v>
          </cell>
        </row>
        <row r="14">
          <cell r="E14">
            <v>0</v>
          </cell>
        </row>
        <row r="18">
          <cell r="E18">
            <v>38500000</v>
          </cell>
        </row>
        <row r="19">
          <cell r="E19">
            <v>340000000</v>
          </cell>
        </row>
        <row r="20">
          <cell r="E20"/>
        </row>
        <row r="31">
          <cell r="E31">
            <v>22458368</v>
          </cell>
        </row>
        <row r="33">
          <cell r="E33">
            <v>541632</v>
          </cell>
        </row>
        <row r="36">
          <cell r="E36">
            <v>541632</v>
          </cell>
        </row>
      </sheetData>
      <sheetData sheetId="7">
        <row r="4">
          <cell r="E4" t="str">
            <v>당초예산
( A )</v>
          </cell>
          <cell r="F4" t="str">
            <v>1차추경
( B )</v>
          </cell>
        </row>
        <row r="5">
          <cell r="E5"/>
          <cell r="F5"/>
        </row>
        <row r="6">
          <cell r="E6">
            <v>2415800000</v>
          </cell>
          <cell r="F6">
            <v>2767810000</v>
          </cell>
        </row>
        <row r="7">
          <cell r="Q7">
            <v>101815000</v>
          </cell>
        </row>
        <row r="8">
          <cell r="B8" t="str">
            <v>인건비</v>
          </cell>
        </row>
        <row r="9">
          <cell r="F9">
            <v>1615353000</v>
          </cell>
        </row>
        <row r="10">
          <cell r="F10">
            <v>514179280</v>
          </cell>
        </row>
        <row r="11">
          <cell r="F11">
            <v>157686600</v>
          </cell>
        </row>
        <row r="12">
          <cell r="F12">
            <v>335572680</v>
          </cell>
        </row>
        <row r="13">
          <cell r="F13">
            <v>20920000</v>
          </cell>
        </row>
        <row r="15">
          <cell r="F15">
            <v>179026890</v>
          </cell>
        </row>
        <row r="16">
          <cell r="F16">
            <v>208857220</v>
          </cell>
        </row>
        <row r="21">
          <cell r="F21">
            <v>0</v>
          </cell>
        </row>
        <row r="25">
          <cell r="F25"/>
        </row>
        <row r="27">
          <cell r="F27">
            <v>0</v>
          </cell>
        </row>
        <row r="28">
          <cell r="F28">
            <v>9257550</v>
          </cell>
        </row>
        <row r="29">
          <cell r="F29">
            <v>45000000</v>
          </cell>
        </row>
        <row r="30">
          <cell r="F30">
            <v>3700450</v>
          </cell>
        </row>
        <row r="34">
          <cell r="F34">
            <v>4500000</v>
          </cell>
        </row>
        <row r="35">
          <cell r="F35">
            <v>0</v>
          </cell>
        </row>
        <row r="38">
          <cell r="F38">
            <v>0</v>
          </cell>
        </row>
        <row r="39">
          <cell r="F39">
            <v>330000</v>
          </cell>
        </row>
        <row r="40">
          <cell r="F40">
            <v>16100000</v>
          </cell>
        </row>
        <row r="43">
          <cell r="F43">
            <v>140739200</v>
          </cell>
        </row>
        <row r="44">
          <cell r="F44">
            <v>3543500</v>
          </cell>
        </row>
        <row r="45">
          <cell r="F45">
            <v>135608100</v>
          </cell>
        </row>
        <row r="46">
          <cell r="F46">
            <v>1587600</v>
          </cell>
        </row>
        <row r="47">
          <cell r="F47">
            <v>21500000</v>
          </cell>
        </row>
        <row r="51">
          <cell r="F51">
            <v>1427000</v>
          </cell>
        </row>
        <row r="52">
          <cell r="F52">
            <v>2098800</v>
          </cell>
        </row>
        <row r="58">
          <cell r="F58">
            <v>570610</v>
          </cell>
        </row>
        <row r="59">
          <cell r="F59">
            <v>5170000</v>
          </cell>
        </row>
        <row r="61">
          <cell r="F61">
            <v>5170000</v>
          </cell>
        </row>
      </sheetData>
      <sheetData sheetId="8">
        <row r="6">
          <cell r="E6">
            <v>207420000</v>
          </cell>
          <cell r="F6">
            <v>207510000</v>
          </cell>
        </row>
        <row r="7">
          <cell r="F7">
            <v>155850630</v>
          </cell>
          <cell r="T7">
            <v>129367580</v>
          </cell>
        </row>
        <row r="8">
          <cell r="F8">
            <v>81016000</v>
          </cell>
        </row>
        <row r="9">
          <cell r="F9">
            <v>54712250</v>
          </cell>
        </row>
        <row r="13">
          <cell r="F13">
            <v>26483050</v>
          </cell>
        </row>
        <row r="14">
          <cell r="F14">
            <v>9209190</v>
          </cell>
        </row>
        <row r="15">
          <cell r="F15">
            <v>10913190</v>
          </cell>
        </row>
        <row r="21">
          <cell r="F21">
            <v>6600000</v>
          </cell>
        </row>
        <row r="22">
          <cell r="D22" t="str">
            <v>차량운영비</v>
          </cell>
          <cell r="F22">
            <v>3600000</v>
          </cell>
        </row>
        <row r="23">
          <cell r="D23" t="str">
            <v>환경개선사업</v>
          </cell>
          <cell r="F23">
            <v>0</v>
          </cell>
        </row>
        <row r="24">
          <cell r="D24" t="str">
            <v>간병인비</v>
          </cell>
          <cell r="F24">
            <v>3000000</v>
          </cell>
        </row>
        <row r="25">
          <cell r="F25">
            <v>32840000</v>
          </cell>
        </row>
        <row r="32">
          <cell r="F32">
            <v>6720000</v>
          </cell>
        </row>
        <row r="33">
          <cell r="F33">
            <v>2090000</v>
          </cell>
        </row>
        <row r="36">
          <cell r="F36">
            <v>66180</v>
          </cell>
        </row>
        <row r="39">
          <cell r="F39">
            <v>3343190</v>
          </cell>
        </row>
      </sheetData>
      <sheetData sheetId="9">
        <row r="1">
          <cell r="W1">
            <v>256950000</v>
          </cell>
        </row>
        <row r="4">
          <cell r="E4" t="str">
            <v>당초예산
( A )</v>
          </cell>
          <cell r="F4" t="str">
            <v>1차추경
( B )</v>
          </cell>
        </row>
        <row r="5">
          <cell r="E5"/>
          <cell r="F5"/>
          <cell r="U5">
            <v>34000000</v>
          </cell>
        </row>
        <row r="6">
          <cell r="F6">
            <v>256950000</v>
          </cell>
        </row>
        <row r="12">
          <cell r="F12">
            <v>19000000</v>
          </cell>
        </row>
        <row r="26">
          <cell r="F26">
            <v>1583330</v>
          </cell>
        </row>
        <row r="27">
          <cell r="F27">
            <v>960390</v>
          </cell>
        </row>
        <row r="32">
          <cell r="F32">
            <v>12000000</v>
          </cell>
        </row>
        <row r="37">
          <cell r="F37">
            <v>2000000</v>
          </cell>
        </row>
        <row r="40">
          <cell r="F40">
            <v>6906280</v>
          </cell>
        </row>
        <row r="41">
          <cell r="F41">
            <v>50000000</v>
          </cell>
        </row>
        <row r="42">
          <cell r="F42">
            <v>2000000</v>
          </cell>
        </row>
        <row r="43">
          <cell r="F43">
            <v>500000</v>
          </cell>
        </row>
        <row r="44">
          <cell r="F44">
            <v>4000000</v>
          </cell>
        </row>
        <row r="47">
          <cell r="F47">
            <v>0</v>
          </cell>
        </row>
        <row r="48">
          <cell r="F48">
            <v>5000000</v>
          </cell>
        </row>
        <row r="49">
          <cell r="F49">
            <v>5000000</v>
          </cell>
        </row>
        <row r="52">
          <cell r="F52">
            <v>85000000</v>
          </cell>
        </row>
        <row r="53">
          <cell r="F53">
            <v>4000000</v>
          </cell>
        </row>
        <row r="54">
          <cell r="C54" t="str">
            <v>수용기관경비</v>
          </cell>
          <cell r="F54">
            <v>11000000</v>
          </cell>
        </row>
        <row r="57">
          <cell r="F57">
            <v>2000000</v>
          </cell>
        </row>
        <row r="75">
          <cell r="F75">
            <v>41000000</v>
          </cell>
        </row>
        <row r="77">
          <cell r="F77">
            <v>5000000</v>
          </cell>
        </row>
      </sheetData>
      <sheetData sheetId="10">
        <row r="6">
          <cell r="F6">
            <v>401500000</v>
          </cell>
        </row>
        <row r="9">
          <cell r="F9">
            <v>3000000</v>
          </cell>
        </row>
        <row r="11">
          <cell r="F11">
            <v>9600000</v>
          </cell>
        </row>
        <row r="12">
          <cell r="F12">
            <v>0</v>
          </cell>
        </row>
        <row r="26">
          <cell r="F26">
            <v>250000</v>
          </cell>
        </row>
        <row r="27">
          <cell r="F27">
            <v>161310</v>
          </cell>
        </row>
        <row r="32">
          <cell r="F32">
            <v>25000000</v>
          </cell>
        </row>
        <row r="37">
          <cell r="F37">
            <v>0</v>
          </cell>
        </row>
        <row r="39">
          <cell r="F39">
            <v>2000000</v>
          </cell>
        </row>
        <row r="40">
          <cell r="F40">
            <v>41948585</v>
          </cell>
        </row>
        <row r="43">
          <cell r="F43">
            <v>40000000</v>
          </cell>
        </row>
        <row r="44">
          <cell r="F44">
            <v>8000000</v>
          </cell>
        </row>
        <row r="45">
          <cell r="F45">
            <v>18000000</v>
          </cell>
        </row>
        <row r="46">
          <cell r="F46">
            <v>3000000</v>
          </cell>
        </row>
        <row r="49">
          <cell r="F49"/>
        </row>
        <row r="50">
          <cell r="F50">
            <v>102400000</v>
          </cell>
        </row>
        <row r="51">
          <cell r="F51">
            <v>101000000</v>
          </cell>
        </row>
        <row r="54">
          <cell r="F54">
            <v>5000000</v>
          </cell>
        </row>
        <row r="55">
          <cell r="F55">
            <v>4000000</v>
          </cell>
        </row>
        <row r="59">
          <cell r="F59">
            <v>1000000</v>
          </cell>
        </row>
        <row r="64">
          <cell r="F64">
            <v>0</v>
          </cell>
        </row>
        <row r="78">
          <cell r="F78">
            <v>30000000</v>
          </cell>
        </row>
        <row r="80">
          <cell r="F80">
            <v>0</v>
          </cell>
        </row>
        <row r="81">
          <cell r="F81">
            <v>3280000</v>
          </cell>
        </row>
        <row r="88">
          <cell r="F88">
            <v>2820000</v>
          </cell>
        </row>
        <row r="90">
          <cell r="F90">
            <v>1040105</v>
          </cell>
        </row>
      </sheetData>
      <sheetData sheetId="11"/>
      <sheetData sheetId="12"/>
      <sheetData sheetId="13"/>
      <sheetData sheetId="14">
        <row r="5">
          <cell r="F5">
            <v>1409045000</v>
          </cell>
          <cell r="M5">
            <v>137470200</v>
          </cell>
          <cell r="O5">
            <v>19660000</v>
          </cell>
          <cell r="R5">
            <v>282857080</v>
          </cell>
          <cell r="S5">
            <v>25397900</v>
          </cell>
          <cell r="U5">
            <v>1874430180</v>
          </cell>
          <cell r="W5">
            <v>155651420</v>
          </cell>
          <cell r="X5">
            <v>82980200</v>
          </cell>
          <cell r="Y5">
            <v>61500010</v>
          </cell>
          <cell r="Z5">
            <v>6306570</v>
          </cell>
          <cell r="AA5">
            <v>16078950</v>
          </cell>
          <cell r="AB5">
            <v>14292750</v>
          </cell>
        </row>
        <row r="6">
          <cell r="U6">
            <v>57430500</v>
          </cell>
        </row>
        <row r="630">
          <cell r="U630">
            <v>30432000</v>
          </cell>
        </row>
        <row r="676">
          <cell r="F676">
            <v>81016000</v>
          </cell>
          <cell r="M676">
            <v>8104800</v>
          </cell>
          <cell r="O676">
            <v>1200000</v>
          </cell>
          <cell r="R676">
            <v>18924400</v>
          </cell>
          <cell r="S676">
            <v>1085150</v>
          </cell>
          <cell r="W676">
            <v>9209190</v>
          </cell>
          <cell r="X676">
            <v>4977540</v>
          </cell>
          <cell r="Y676">
            <v>3679650</v>
          </cell>
          <cell r="Z676">
            <v>377320</v>
          </cell>
          <cell r="AA676">
            <v>994600</v>
          </cell>
          <cell r="AB676">
            <v>884080</v>
          </cell>
        </row>
        <row r="733">
          <cell r="F733">
            <v>206308000</v>
          </cell>
          <cell r="M733">
            <v>20216400</v>
          </cell>
          <cell r="O733">
            <v>1260000</v>
          </cell>
          <cell r="R733">
            <v>52715600</v>
          </cell>
          <cell r="U733">
            <v>280500000</v>
          </cell>
          <cell r="W733">
            <v>23375470</v>
          </cell>
          <cell r="X733">
            <v>12622620</v>
          </cell>
          <cell r="Y733">
            <v>9355260</v>
          </cell>
          <cell r="Z733">
            <v>959550</v>
          </cell>
          <cell r="AA733">
            <v>2524440</v>
          </cell>
          <cell r="AB733">
            <v>2243900</v>
          </cell>
        </row>
      </sheetData>
      <sheetData sheetId="15">
        <row r="5">
          <cell r="U5">
            <v>1583330</v>
          </cell>
          <cell r="W5">
            <v>633650</v>
          </cell>
          <cell r="X5">
            <v>64930</v>
          </cell>
          <cell r="Y5">
            <v>138600</v>
          </cell>
          <cell r="Z5">
            <v>123200</v>
          </cell>
        </row>
      </sheetData>
      <sheetData sheetId="16">
        <row r="6">
          <cell r="L6">
            <v>0</v>
          </cell>
        </row>
        <row r="49">
          <cell r="G49"/>
          <cell r="H49"/>
          <cell r="J49"/>
          <cell r="K49"/>
          <cell r="L49"/>
          <cell r="M49"/>
          <cell r="N49"/>
          <cell r="O49"/>
          <cell r="R49"/>
          <cell r="S49"/>
          <cell r="W49"/>
        </row>
      </sheetData>
      <sheetData sheetId="17">
        <row r="5">
          <cell r="L5">
            <v>0</v>
          </cell>
        </row>
      </sheetData>
      <sheetData sheetId="18">
        <row r="8">
          <cell r="G8">
            <v>3543500</v>
          </cell>
        </row>
        <row r="10">
          <cell r="G10">
            <v>135608100</v>
          </cell>
        </row>
        <row r="11">
          <cell r="G11">
            <v>1587600</v>
          </cell>
        </row>
      </sheetData>
      <sheetData sheetId="19">
        <row r="5">
          <cell r="O5">
            <v>14600000</v>
          </cell>
        </row>
        <row r="19">
          <cell r="O19">
            <v>4800000</v>
          </cell>
        </row>
        <row r="34">
          <cell r="O34">
            <v>6400000</v>
          </cell>
        </row>
        <row r="35">
          <cell r="O35">
            <v>3840000</v>
          </cell>
        </row>
        <row r="41">
          <cell r="O41">
            <v>3200000</v>
          </cell>
        </row>
      </sheetData>
      <sheetData sheetId="20"/>
      <sheetData sheetId="2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E73"/>
  <sheetViews>
    <sheetView tabSelected="1" workbookViewId="0">
      <selection activeCell="B7" sqref="B7"/>
    </sheetView>
  </sheetViews>
  <sheetFormatPr defaultRowHeight="13.5"/>
  <cols>
    <col min="1" max="1" width="114.5" style="123" customWidth="1"/>
    <col min="2" max="2" width="40.25" style="123" customWidth="1"/>
    <col min="3" max="3" width="46.625" style="123" customWidth="1"/>
    <col min="4" max="16384" width="9" style="123"/>
  </cols>
  <sheetData>
    <row r="4" spans="1:1" ht="20.25">
      <c r="A4" s="655" t="s">
        <v>726</v>
      </c>
    </row>
    <row r="5" spans="1:1" ht="20.25">
      <c r="A5" s="655"/>
    </row>
    <row r="6" spans="1:1" ht="20.25">
      <c r="A6" s="655"/>
    </row>
    <row r="7" spans="1:1" ht="20.25">
      <c r="A7" s="655"/>
    </row>
    <row r="8" spans="1:1" ht="20.25">
      <c r="A8" s="655"/>
    </row>
    <row r="9" spans="1:1" ht="20.25">
      <c r="A9" s="655"/>
    </row>
    <row r="10" spans="1:1" ht="20.25">
      <c r="A10" s="655"/>
    </row>
    <row r="11" spans="1:1" ht="79.5" customHeight="1">
      <c r="A11" s="656" t="s">
        <v>727</v>
      </c>
    </row>
    <row r="12" spans="1:1" ht="46.5">
      <c r="A12" s="657" t="s">
        <v>728</v>
      </c>
    </row>
    <row r="13" spans="1:1" ht="46.5">
      <c r="A13" s="656"/>
    </row>
    <row r="14" spans="1:1" ht="46.5">
      <c r="A14" s="656"/>
    </row>
    <row r="15" spans="1:1" ht="46.5">
      <c r="A15" s="656"/>
    </row>
    <row r="16" spans="1:1" ht="46.5">
      <c r="A16" s="656"/>
    </row>
    <row r="17" spans="1:1" ht="19.5" customHeight="1">
      <c r="A17" s="656"/>
    </row>
    <row r="18" spans="1:1" ht="19.5" customHeight="1">
      <c r="A18" s="656"/>
    </row>
    <row r="19" spans="1:1" ht="19.5" customHeight="1">
      <c r="A19" s="656"/>
    </row>
    <row r="23" spans="1:1" ht="19.5">
      <c r="A23" s="658" t="s">
        <v>729</v>
      </c>
    </row>
    <row r="24" spans="1:1" ht="31.5">
      <c r="A24" s="659" t="s">
        <v>730</v>
      </c>
    </row>
    <row r="67" spans="5:5" hidden="1">
      <c r="E67" s="123">
        <v>0</v>
      </c>
    </row>
    <row r="73" spans="5:5" hidden="1"/>
  </sheetData>
  <phoneticPr fontId="7" type="noConversion"/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51"/>
  <sheetViews>
    <sheetView zoomScaleNormal="100" workbookViewId="0">
      <selection activeCell="R30" sqref="R30"/>
    </sheetView>
  </sheetViews>
  <sheetFormatPr defaultRowHeight="18.75"/>
  <cols>
    <col min="1" max="1" width="7.5" style="677" customWidth="1"/>
    <col min="2" max="2" width="5.625" style="677" customWidth="1"/>
    <col min="3" max="3" width="15.5" style="677" customWidth="1"/>
    <col min="4" max="4" width="18.125" style="677" customWidth="1"/>
    <col min="5" max="5" width="3.5" style="677" customWidth="1"/>
    <col min="6" max="6" width="7.25" style="677" customWidth="1"/>
    <col min="7" max="7" width="5.625" style="677" customWidth="1"/>
    <col min="8" max="8" width="13.625" style="677" customWidth="1"/>
    <col min="9" max="9" width="18.125" style="677" customWidth="1"/>
    <col min="10" max="10" width="10.625" style="677" customWidth="1"/>
    <col min="11" max="11" width="3.125" style="677" customWidth="1"/>
    <col min="12" max="13" width="9" style="677"/>
    <col min="14" max="14" width="20" style="677" customWidth="1"/>
    <col min="15" max="16384" width="9" style="677"/>
  </cols>
  <sheetData>
    <row r="2" spans="1:14" ht="24" customHeight="1">
      <c r="A2" s="1239" t="s">
        <v>46</v>
      </c>
      <c r="B2" s="1239"/>
      <c r="C2" s="1239"/>
      <c r="D2" s="1239"/>
      <c r="E2" s="1239"/>
      <c r="F2" s="1239"/>
      <c r="G2" s="1239"/>
      <c r="H2" s="1239"/>
      <c r="I2" s="1239"/>
      <c r="J2" s="1239"/>
      <c r="K2" s="676"/>
    </row>
    <row r="3" spans="1:14" s="679" customFormat="1" ht="25.5" customHeight="1">
      <c r="A3" s="678"/>
      <c r="B3" s="678"/>
      <c r="C3" s="678"/>
      <c r="D3" s="678"/>
      <c r="E3" s="678"/>
      <c r="F3" s="678"/>
      <c r="G3" s="678"/>
      <c r="H3" s="678"/>
      <c r="I3" s="678"/>
      <c r="J3" s="678"/>
      <c r="K3" s="678"/>
    </row>
    <row r="4" spans="1:14" s="679" customFormat="1" ht="15" customHeight="1">
      <c r="A4" s="680" t="s">
        <v>44</v>
      </c>
      <c r="B4" s="680" t="s">
        <v>142</v>
      </c>
      <c r="C4" s="680"/>
      <c r="D4" s="680"/>
      <c r="E4" s="680"/>
      <c r="F4" s="680"/>
      <c r="G4" s="680"/>
      <c r="H4" s="680"/>
      <c r="I4" s="680"/>
      <c r="J4" s="680"/>
      <c r="K4" s="680"/>
    </row>
    <row r="5" spans="1:14" s="679" customFormat="1" ht="15" customHeight="1">
      <c r="A5" s="681"/>
      <c r="B5" s="682" t="s">
        <v>143</v>
      </c>
      <c r="C5" s="681"/>
      <c r="D5" s="681"/>
      <c r="E5" s="681"/>
      <c r="F5" s="681"/>
      <c r="G5" s="681"/>
      <c r="H5" s="681"/>
      <c r="I5" s="681"/>
      <c r="J5" s="681"/>
      <c r="K5" s="681"/>
    </row>
    <row r="6" spans="1:14" s="679" customFormat="1" ht="15" customHeight="1">
      <c r="A6" s="681"/>
      <c r="B6" s="682" t="s">
        <v>42</v>
      </c>
      <c r="C6" s="681"/>
      <c r="D6" s="681"/>
      <c r="E6" s="681"/>
      <c r="F6" s="681"/>
      <c r="G6" s="681"/>
      <c r="H6" s="681"/>
      <c r="I6" s="681"/>
      <c r="J6" s="681"/>
      <c r="K6" s="681"/>
    </row>
    <row r="7" spans="1:14" s="679" customFormat="1" ht="11.25" customHeight="1">
      <c r="A7" s="681"/>
      <c r="B7" s="681"/>
      <c r="C7" s="681"/>
      <c r="D7" s="681"/>
      <c r="E7" s="681"/>
      <c r="F7" s="681"/>
      <c r="G7" s="681"/>
      <c r="H7" s="681"/>
      <c r="I7" s="681"/>
      <c r="J7" s="681"/>
      <c r="K7" s="681"/>
    </row>
    <row r="8" spans="1:14" s="679" customFormat="1" ht="15" customHeight="1">
      <c r="A8" s="680" t="s">
        <v>12</v>
      </c>
      <c r="B8" s="680" t="s">
        <v>13</v>
      </c>
      <c r="C8" s="680"/>
      <c r="D8" s="683">
        <f>'다. 세입내역서'!E6</f>
        <v>3629150000.0309882</v>
      </c>
      <c r="E8" s="680" t="s">
        <v>14</v>
      </c>
      <c r="F8" s="680"/>
      <c r="G8" s="680" t="s">
        <v>15</v>
      </c>
      <c r="H8" s="680"/>
      <c r="I8" s="680"/>
      <c r="J8" s="680"/>
      <c r="K8" s="680"/>
      <c r="N8" s="684"/>
    </row>
    <row r="9" spans="1:14" s="679" customFormat="1" ht="6.75" customHeight="1">
      <c r="A9" s="680"/>
      <c r="B9" s="680"/>
      <c r="C9" s="680"/>
      <c r="D9" s="680"/>
      <c r="E9" s="680"/>
      <c r="F9" s="680"/>
      <c r="G9" s="680"/>
      <c r="H9" s="680"/>
      <c r="I9" s="680"/>
      <c r="J9" s="680"/>
      <c r="K9" s="680"/>
    </row>
    <row r="10" spans="1:14" s="679" customFormat="1" ht="15" customHeight="1">
      <c r="A10" s="680"/>
      <c r="B10" s="683" t="s">
        <v>16</v>
      </c>
      <c r="C10" s="683"/>
      <c r="D10" s="683"/>
      <c r="E10" s="683"/>
      <c r="F10" s="683"/>
      <c r="G10" s="683"/>
      <c r="H10" s="683"/>
      <c r="I10" s="680"/>
      <c r="J10" s="680"/>
      <c r="K10" s="680"/>
      <c r="N10" s="684"/>
    </row>
    <row r="11" spans="1:14" s="679" customFormat="1" ht="15" customHeight="1">
      <c r="A11" s="680"/>
      <c r="B11" s="683" t="s">
        <v>81</v>
      </c>
      <c r="C11" s="685" t="s">
        <v>144</v>
      </c>
      <c r="D11" s="683">
        <f>'나. 세입세출(총괄)'!E9</f>
        <v>134400000</v>
      </c>
      <c r="E11" s="683" t="s">
        <v>9</v>
      </c>
      <c r="F11" s="683"/>
      <c r="G11" s="683" t="s">
        <v>82</v>
      </c>
      <c r="H11" s="685" t="s">
        <v>145</v>
      </c>
      <c r="I11" s="686"/>
      <c r="J11" s="683" t="s">
        <v>9</v>
      </c>
      <c r="K11" s="680"/>
    </row>
    <row r="12" spans="1:14" s="679" customFormat="1" ht="15" customHeight="1">
      <c r="A12" s="680"/>
      <c r="B12" s="683" t="s">
        <v>79</v>
      </c>
      <c r="C12" s="685" t="s">
        <v>146</v>
      </c>
      <c r="D12" s="683">
        <f>'나. 세입세출(총괄)'!E18</f>
        <v>2961571470.0309882</v>
      </c>
      <c r="E12" s="683" t="s">
        <v>9</v>
      </c>
      <c r="F12" s="683"/>
      <c r="G12" s="683" t="s">
        <v>83</v>
      </c>
      <c r="H12" s="685" t="s">
        <v>147</v>
      </c>
      <c r="I12" s="683">
        <f>'나. 세입세출(총괄)'!E25</f>
        <v>378460000</v>
      </c>
      <c r="J12" s="683" t="s">
        <v>9</v>
      </c>
      <c r="K12" s="680"/>
    </row>
    <row r="13" spans="1:14" s="679" customFormat="1" ht="15" customHeight="1">
      <c r="A13" s="680"/>
      <c r="B13" s="683" t="s">
        <v>78</v>
      </c>
      <c r="C13" s="685" t="s">
        <v>148</v>
      </c>
      <c r="D13" s="683"/>
      <c r="E13" s="683" t="s">
        <v>9</v>
      </c>
      <c r="F13" s="683"/>
      <c r="G13" s="683" t="s">
        <v>84</v>
      </c>
      <c r="H13" s="685" t="s">
        <v>149</v>
      </c>
      <c r="I13" s="683">
        <f>'나. 세입세출(총괄)'!E31</f>
        <v>40000000</v>
      </c>
      <c r="J13" s="683" t="s">
        <v>9</v>
      </c>
      <c r="K13" s="680"/>
    </row>
    <row r="14" spans="1:14" s="679" customFormat="1" ht="15" customHeight="1">
      <c r="A14" s="680"/>
      <c r="B14" s="683" t="s">
        <v>77</v>
      </c>
      <c r="C14" s="685" t="s">
        <v>150</v>
      </c>
      <c r="D14" s="683">
        <f>'나. 세입세출(총괄)'!E35</f>
        <v>53404680</v>
      </c>
      <c r="E14" s="683" t="s">
        <v>9</v>
      </c>
      <c r="F14" s="683"/>
      <c r="G14" s="683" t="s">
        <v>85</v>
      </c>
      <c r="H14" s="685" t="s">
        <v>151</v>
      </c>
      <c r="I14" s="683">
        <f>'나. 세입세출(총괄)'!E46</f>
        <v>61313850</v>
      </c>
      <c r="J14" s="683" t="s">
        <v>9</v>
      </c>
      <c r="K14" s="680"/>
    </row>
    <row r="15" spans="1:14" s="679" customFormat="1" ht="7.5" customHeight="1">
      <c r="A15" s="680"/>
      <c r="B15" s="683"/>
      <c r="C15" s="683"/>
      <c r="D15" s="683"/>
      <c r="E15" s="683"/>
      <c r="F15" s="683"/>
      <c r="G15" s="683"/>
      <c r="H15" s="683"/>
      <c r="I15" s="683"/>
      <c r="J15" s="683"/>
      <c r="K15" s="680"/>
    </row>
    <row r="16" spans="1:14" s="679" customFormat="1" ht="15" customHeight="1">
      <c r="A16" s="680"/>
      <c r="B16" s="683" t="s">
        <v>37</v>
      </c>
      <c r="C16" s="683"/>
      <c r="D16" s="683"/>
      <c r="E16" s="683"/>
      <c r="F16" s="683"/>
      <c r="G16" s="683"/>
      <c r="H16" s="683"/>
      <c r="I16" s="680"/>
      <c r="J16" s="680"/>
      <c r="K16" s="680"/>
      <c r="N16" s="684"/>
    </row>
    <row r="17" spans="1:14" s="679" customFormat="1" ht="15" customHeight="1">
      <c r="A17" s="680"/>
      <c r="B17" s="683" t="s">
        <v>80</v>
      </c>
      <c r="C17" s="685" t="s">
        <v>152</v>
      </c>
      <c r="D17" s="683">
        <f>'나. 세입세출(총괄)'!L8</f>
        <v>2981036365.3532939</v>
      </c>
      <c r="E17" s="683" t="s">
        <v>9</v>
      </c>
      <c r="F17" s="683"/>
      <c r="G17" s="683" t="s">
        <v>82</v>
      </c>
      <c r="H17" s="685" t="s">
        <v>153</v>
      </c>
      <c r="I17" s="686">
        <f>'나. 세입세출(총괄)'!L25</f>
        <v>229830000</v>
      </c>
      <c r="J17" s="683" t="s">
        <v>9</v>
      </c>
      <c r="K17" s="680"/>
    </row>
    <row r="18" spans="1:14" s="679" customFormat="1" ht="15" customHeight="1">
      <c r="A18" s="680"/>
      <c r="B18" s="683" t="s">
        <v>79</v>
      </c>
      <c r="C18" s="685" t="s">
        <v>154</v>
      </c>
      <c r="D18" s="683">
        <f>'나. 세입세출(총괄)'!L30</f>
        <v>408115000</v>
      </c>
      <c r="E18" s="683" t="s">
        <v>9</v>
      </c>
      <c r="F18" s="683"/>
      <c r="G18" s="683" t="s">
        <v>83</v>
      </c>
      <c r="H18" s="685" t="s">
        <v>155</v>
      </c>
      <c r="I18" s="683">
        <f>'나. 세입세출(총괄)'!L49</f>
        <v>615340</v>
      </c>
      <c r="J18" s="683" t="s">
        <v>9</v>
      </c>
      <c r="K18" s="680"/>
    </row>
    <row r="19" spans="1:14" s="679" customFormat="1" ht="15" customHeight="1">
      <c r="A19" s="680"/>
      <c r="B19" s="683" t="s">
        <v>78</v>
      </c>
      <c r="C19" s="685" t="s">
        <v>156</v>
      </c>
      <c r="D19" s="683">
        <f>'나. 세입세출(총괄)'!L46</f>
        <v>1040105</v>
      </c>
      <c r="E19" s="683" t="s">
        <v>9</v>
      </c>
      <c r="F19" s="683"/>
      <c r="G19" s="683" t="s">
        <v>84</v>
      </c>
      <c r="H19" s="685" t="s">
        <v>157</v>
      </c>
      <c r="I19" s="683">
        <f>'나. 세입세출(총괄)'!L52</f>
        <v>8513190</v>
      </c>
      <c r="J19" s="683" t="s">
        <v>9</v>
      </c>
      <c r="K19" s="680"/>
    </row>
    <row r="20" spans="1:14" s="679" customFormat="1" ht="15" customHeight="1">
      <c r="A20" s="680"/>
      <c r="B20" s="683" t="s">
        <v>77</v>
      </c>
      <c r="C20" s="685"/>
      <c r="D20" s="683"/>
      <c r="E20" s="683" t="s">
        <v>9</v>
      </c>
      <c r="F20" s="683"/>
      <c r="G20" s="683"/>
      <c r="H20" s="683"/>
      <c r="I20" s="683"/>
      <c r="J20" s="683"/>
      <c r="K20" s="680"/>
    </row>
    <row r="21" spans="1:14" s="679" customFormat="1" ht="7.5" customHeight="1">
      <c r="A21" s="680"/>
      <c r="B21" s="683"/>
      <c r="C21" s="683"/>
      <c r="D21" s="683"/>
      <c r="E21" s="683"/>
      <c r="F21" s="683"/>
      <c r="G21" s="683"/>
      <c r="H21" s="683"/>
      <c r="I21" s="683"/>
      <c r="J21" s="683"/>
      <c r="K21" s="680"/>
    </row>
    <row r="22" spans="1:14" s="679" customFormat="1" ht="15" customHeight="1">
      <c r="A22" s="680"/>
      <c r="B22" s="683" t="s">
        <v>17</v>
      </c>
      <c r="C22" s="683"/>
      <c r="D22" s="687"/>
      <c r="E22" s="683"/>
      <c r="F22" s="683"/>
      <c r="G22" s="688" t="s">
        <v>18</v>
      </c>
      <c r="I22" s="689"/>
      <c r="J22" s="683" t="s">
        <v>19</v>
      </c>
      <c r="K22" s="680"/>
    </row>
    <row r="23" spans="1:14" s="679" customFormat="1" ht="7.5" customHeight="1">
      <c r="A23" s="680"/>
      <c r="B23" s="683"/>
      <c r="C23" s="683"/>
      <c r="D23" s="683"/>
      <c r="E23" s="683"/>
      <c r="F23" s="683"/>
      <c r="G23" s="688"/>
      <c r="I23" s="683"/>
      <c r="J23" s="683"/>
      <c r="K23" s="680"/>
    </row>
    <row r="24" spans="1:14" s="679" customFormat="1" ht="13.5">
      <c r="A24" s="680"/>
      <c r="B24" s="683" t="s">
        <v>41</v>
      </c>
      <c r="C24" s="683"/>
      <c r="D24" s="1240" t="s">
        <v>158</v>
      </c>
      <c r="E24" s="1240"/>
      <c r="F24" s="1240"/>
      <c r="G24" s="1240"/>
      <c r="H24" s="1240"/>
      <c r="I24" s="690">
        <v>10000000</v>
      </c>
      <c r="J24" s="683" t="s">
        <v>19</v>
      </c>
      <c r="K24" s="680"/>
      <c r="N24" s="691"/>
    </row>
    <row r="25" spans="1:14" s="679" customFormat="1" ht="13.5">
      <c r="A25" s="680"/>
      <c r="B25" s="683"/>
      <c r="C25" s="683"/>
      <c r="D25" s="1241" t="s">
        <v>159</v>
      </c>
      <c r="E25" s="1241"/>
      <c r="F25" s="1241"/>
      <c r="G25" s="1241"/>
      <c r="H25" s="1241"/>
      <c r="I25" s="690">
        <v>2100000</v>
      </c>
      <c r="J25" s="683" t="s">
        <v>19</v>
      </c>
      <c r="K25" s="680"/>
      <c r="N25" s="691"/>
    </row>
    <row r="26" spans="1:14" s="679" customFormat="1" ht="13.7" hidden="1" customHeight="1">
      <c r="A26" s="680"/>
      <c r="B26" s="683"/>
      <c r="C26" s="683"/>
      <c r="D26" s="683"/>
      <c r="E26" s="692"/>
      <c r="F26" s="692"/>
      <c r="G26" s="688"/>
      <c r="H26" s="692"/>
      <c r="I26" s="690">
        <v>10000002</v>
      </c>
      <c r="J26" s="683" t="s">
        <v>19</v>
      </c>
      <c r="K26" s="680"/>
      <c r="N26" s="691"/>
    </row>
    <row r="27" spans="1:14" s="679" customFormat="1" ht="13.7" hidden="1" customHeight="1">
      <c r="A27" s="680"/>
      <c r="B27" s="683"/>
      <c r="C27" s="683"/>
      <c r="D27" s="683"/>
      <c r="E27" s="692"/>
      <c r="F27" s="692"/>
      <c r="G27" s="688"/>
      <c r="H27" s="692"/>
      <c r="I27" s="690">
        <v>10000003</v>
      </c>
      <c r="J27" s="683" t="s">
        <v>19</v>
      </c>
      <c r="K27" s="680"/>
      <c r="N27" s="691"/>
    </row>
    <row r="28" spans="1:14" s="679" customFormat="1" ht="13.5">
      <c r="A28" s="680"/>
      <c r="B28" s="683"/>
      <c r="C28" s="683"/>
      <c r="D28" s="1241" t="s">
        <v>160</v>
      </c>
      <c r="E28" s="1241"/>
      <c r="F28" s="1241"/>
      <c r="G28" s="1241"/>
      <c r="H28" s="1241"/>
      <c r="I28" s="690">
        <v>2090000</v>
      </c>
      <c r="J28" s="683" t="s">
        <v>19</v>
      </c>
      <c r="K28" s="680"/>
      <c r="N28" s="691"/>
    </row>
    <row r="29" spans="1:14" s="679" customFormat="1" ht="13.7" customHeight="1">
      <c r="A29" s="680"/>
      <c r="B29" s="683"/>
      <c r="C29" s="683"/>
      <c r="D29" s="683"/>
      <c r="E29" s="692"/>
      <c r="F29" s="692"/>
      <c r="G29" s="688"/>
      <c r="H29" s="692"/>
      <c r="I29" s="693"/>
      <c r="J29" s="683"/>
      <c r="K29" s="680"/>
      <c r="N29" s="691"/>
    </row>
    <row r="30" spans="1:14" s="679" customFormat="1" ht="15" customHeight="1">
      <c r="A30" s="680" t="s">
        <v>20</v>
      </c>
      <c r="B30" s="680" t="s">
        <v>56</v>
      </c>
      <c r="C30" s="680"/>
      <c r="D30" s="680"/>
      <c r="E30" s="680"/>
      <c r="F30" s="680"/>
      <c r="G30" s="680"/>
      <c r="H30" s="680"/>
      <c r="I30" s="680"/>
      <c r="J30" s="680"/>
      <c r="K30" s="680"/>
    </row>
    <row r="31" spans="1:14" s="679" customFormat="1" ht="10.5" customHeight="1">
      <c r="A31" s="680"/>
      <c r="B31" s="680"/>
      <c r="C31" s="680"/>
      <c r="D31" s="680"/>
      <c r="E31" s="680"/>
      <c r="F31" s="680"/>
      <c r="G31" s="680"/>
      <c r="H31" s="680"/>
      <c r="I31" s="680"/>
      <c r="J31" s="680"/>
      <c r="K31" s="680"/>
    </row>
    <row r="32" spans="1:14" s="679" customFormat="1" ht="15" customHeight="1">
      <c r="A32" s="680" t="s">
        <v>21</v>
      </c>
      <c r="B32" s="680" t="s">
        <v>22</v>
      </c>
      <c r="C32" s="680"/>
      <c r="D32" s="680"/>
      <c r="E32" s="680"/>
      <c r="F32" s="680"/>
      <c r="G32" s="680"/>
      <c r="H32" s="680"/>
      <c r="I32" s="680"/>
      <c r="J32" s="680"/>
      <c r="K32" s="680"/>
    </row>
    <row r="33" spans="1:11" s="679" customFormat="1" ht="15" customHeight="1">
      <c r="A33" s="680"/>
      <c r="B33" s="680" t="s">
        <v>23</v>
      </c>
      <c r="C33" s="680"/>
      <c r="D33" s="680"/>
      <c r="E33" s="680"/>
      <c r="F33" s="680"/>
      <c r="G33" s="680"/>
      <c r="H33" s="680"/>
      <c r="I33" s="680"/>
      <c r="J33" s="680"/>
      <c r="K33" s="680"/>
    </row>
    <row r="34" spans="1:11" s="679" customFormat="1" ht="10.5" customHeight="1">
      <c r="A34" s="680"/>
      <c r="B34" s="680"/>
      <c r="C34" s="680"/>
      <c r="D34" s="680"/>
      <c r="E34" s="680"/>
      <c r="F34" s="680"/>
      <c r="G34" s="680"/>
      <c r="H34" s="680"/>
      <c r="I34" s="680"/>
      <c r="J34" s="680"/>
      <c r="K34" s="680"/>
    </row>
    <row r="35" spans="1:11" s="679" customFormat="1" ht="15" customHeight="1">
      <c r="A35" s="680" t="s">
        <v>24</v>
      </c>
      <c r="B35" s="680" t="s">
        <v>25</v>
      </c>
      <c r="C35" s="680"/>
      <c r="D35" s="680"/>
      <c r="E35" s="680"/>
      <c r="F35" s="680"/>
      <c r="G35" s="680"/>
      <c r="H35" s="680"/>
      <c r="I35" s="680"/>
      <c r="J35" s="680"/>
      <c r="K35" s="680"/>
    </row>
    <row r="36" spans="1:11" s="679" customFormat="1" ht="15" customHeight="1">
      <c r="A36" s="680"/>
      <c r="B36" s="680" t="s">
        <v>26</v>
      </c>
      <c r="C36" s="680"/>
      <c r="D36" s="680"/>
      <c r="E36" s="680"/>
      <c r="F36" s="680"/>
      <c r="G36" s="680"/>
      <c r="H36" s="680"/>
      <c r="I36" s="680"/>
      <c r="J36" s="680"/>
      <c r="K36" s="680"/>
    </row>
    <row r="37" spans="1:11" s="679" customFormat="1" ht="10.5" customHeight="1">
      <c r="A37" s="680"/>
      <c r="B37" s="680"/>
      <c r="C37" s="680"/>
      <c r="D37" s="680"/>
      <c r="E37" s="680"/>
      <c r="F37" s="680"/>
      <c r="G37" s="680"/>
      <c r="H37" s="680"/>
      <c r="I37" s="680"/>
      <c r="J37" s="680"/>
      <c r="K37" s="680"/>
    </row>
    <row r="38" spans="1:11" s="679" customFormat="1" ht="15" customHeight="1">
      <c r="A38" s="680" t="s">
        <v>27</v>
      </c>
      <c r="B38" s="680" t="s">
        <v>71</v>
      </c>
      <c r="C38" s="680"/>
      <c r="D38" s="680"/>
      <c r="E38" s="680"/>
      <c r="F38" s="680"/>
      <c r="G38" s="680"/>
      <c r="H38" s="680"/>
      <c r="I38" s="680"/>
      <c r="J38" s="680"/>
      <c r="K38" s="680"/>
    </row>
    <row r="39" spans="1:11" s="679" customFormat="1" ht="15" customHeight="1">
      <c r="A39" s="680"/>
      <c r="B39" s="680" t="s">
        <v>87</v>
      </c>
      <c r="C39" s="680"/>
      <c r="D39" s="680"/>
      <c r="E39" s="680"/>
      <c r="F39" s="680"/>
      <c r="G39" s="680"/>
      <c r="H39" s="680"/>
      <c r="I39" s="680"/>
      <c r="J39" s="680"/>
      <c r="K39" s="680"/>
    </row>
    <row r="40" spans="1:11" s="679" customFormat="1" ht="10.5" customHeight="1">
      <c r="A40" s="680"/>
      <c r="B40" s="680"/>
      <c r="C40" s="680"/>
      <c r="D40" s="680"/>
      <c r="E40" s="680"/>
      <c r="F40" s="680"/>
      <c r="G40" s="680"/>
      <c r="H40" s="680"/>
      <c r="I40" s="680"/>
      <c r="J40" s="680"/>
      <c r="K40" s="680"/>
    </row>
    <row r="41" spans="1:11" s="679" customFormat="1" ht="15" customHeight="1">
      <c r="A41" s="680" t="s">
        <v>28</v>
      </c>
      <c r="B41" s="680" t="s">
        <v>29</v>
      </c>
      <c r="C41" s="680"/>
      <c r="D41" s="680"/>
      <c r="E41" s="680"/>
      <c r="F41" s="680"/>
      <c r="G41" s="680"/>
      <c r="H41" s="680"/>
      <c r="I41" s="680"/>
      <c r="J41" s="680"/>
      <c r="K41" s="680"/>
    </row>
    <row r="42" spans="1:11" s="679" customFormat="1" ht="15" customHeight="1">
      <c r="A42" s="680"/>
      <c r="B42" s="680" t="s">
        <v>30</v>
      </c>
      <c r="C42" s="680"/>
      <c r="D42" s="680"/>
      <c r="E42" s="680"/>
      <c r="F42" s="680"/>
      <c r="G42" s="680"/>
      <c r="H42" s="680"/>
      <c r="I42" s="680"/>
      <c r="J42" s="680"/>
      <c r="K42" s="680"/>
    </row>
    <row r="43" spans="1:11" s="679" customFormat="1" ht="15" customHeight="1">
      <c r="A43" s="680"/>
      <c r="B43" s="680" t="s">
        <v>31</v>
      </c>
      <c r="C43" s="680"/>
      <c r="D43" s="680"/>
      <c r="E43" s="680"/>
      <c r="F43" s="680"/>
      <c r="G43" s="680"/>
      <c r="H43" s="680"/>
      <c r="I43" s="680"/>
      <c r="J43" s="680"/>
      <c r="K43" s="680"/>
    </row>
    <row r="44" spans="1:11" s="679" customFormat="1" ht="10.5" customHeight="1"/>
    <row r="45" spans="1:11" s="679" customFormat="1" ht="15" customHeight="1">
      <c r="A45" s="679" t="s">
        <v>32</v>
      </c>
      <c r="B45" s="679" t="s">
        <v>34</v>
      </c>
    </row>
    <row r="46" spans="1:11" s="679" customFormat="1" ht="15" customHeight="1">
      <c r="B46" s="679" t="s">
        <v>39</v>
      </c>
    </row>
    <row r="47" spans="1:11" s="679" customFormat="1" ht="15" customHeight="1">
      <c r="B47" s="679" t="s">
        <v>35</v>
      </c>
    </row>
    <row r="48" spans="1:11" s="679" customFormat="1" ht="15" customHeight="1">
      <c r="B48" s="679" t="s">
        <v>36</v>
      </c>
    </row>
    <row r="49" spans="1:2" s="679" customFormat="1" ht="13.7" customHeight="1"/>
    <row r="50" spans="1:2" s="679" customFormat="1" ht="15" customHeight="1">
      <c r="A50" s="679" t="s">
        <v>33</v>
      </c>
      <c r="B50" s="679" t="s">
        <v>38</v>
      </c>
    </row>
    <row r="51" spans="1:2" s="679" customFormat="1" ht="15" customHeight="1">
      <c r="B51" s="679" t="s">
        <v>40</v>
      </c>
    </row>
    <row r="52" spans="1:2" s="679" customFormat="1" ht="15" customHeight="1">
      <c r="B52" s="679" t="s">
        <v>43</v>
      </c>
    </row>
    <row r="53" spans="1:2" s="679" customFormat="1" ht="15" customHeight="1"/>
    <row r="54" spans="1:2" s="679" customFormat="1" ht="15" customHeight="1"/>
    <row r="55" spans="1:2" s="679" customFormat="1" ht="15" customHeight="1"/>
    <row r="56" spans="1:2" s="679" customFormat="1" ht="15" customHeight="1"/>
    <row r="57" spans="1:2" s="679" customFormat="1" ht="13.5"/>
    <row r="58" spans="1:2" s="679" customFormat="1" ht="13.5"/>
    <row r="59" spans="1:2" s="679" customFormat="1" ht="13.5"/>
    <row r="60" spans="1:2" s="679" customFormat="1" ht="13.5"/>
    <row r="61" spans="1:2" s="679" customFormat="1" ht="13.5"/>
    <row r="62" spans="1:2" s="679" customFormat="1" ht="13.5"/>
    <row r="63" spans="1:2" s="679" customFormat="1" ht="13.5"/>
    <row r="64" spans="1:2" s="679" customFormat="1" ht="13.5"/>
    <row r="65" s="679" customFormat="1" ht="13.5"/>
    <row r="66" s="679" customFormat="1" ht="13.5"/>
    <row r="67" s="679" customFormat="1" ht="13.5"/>
    <row r="68" s="679" customFormat="1" ht="13.5"/>
    <row r="69" s="679" customFormat="1" ht="13.5"/>
    <row r="70" s="679" customFormat="1" ht="13.5"/>
    <row r="71" s="679" customFormat="1" ht="13.5"/>
    <row r="72" s="679" customFormat="1" ht="13.5"/>
    <row r="73" s="679" customFormat="1" ht="13.5"/>
    <row r="74" s="679" customFormat="1" ht="13.5"/>
    <row r="75" s="679" customFormat="1" ht="13.5"/>
    <row r="76" s="679" customFormat="1" ht="13.5"/>
    <row r="77" s="679" customFormat="1" ht="13.5"/>
    <row r="78" s="679" customFormat="1" ht="13.5"/>
    <row r="79" s="679" customFormat="1" ht="13.5"/>
    <row r="80" s="679" customFormat="1" ht="13.5"/>
    <row r="81" s="679" customFormat="1" ht="13.5"/>
    <row r="82" s="679" customFormat="1" ht="13.5"/>
    <row r="83" s="679" customFormat="1" ht="13.5"/>
    <row r="84" s="679" customFormat="1" ht="13.5"/>
    <row r="85" s="679" customFormat="1" ht="13.5"/>
    <row r="86" s="679" customFormat="1" ht="13.5"/>
    <row r="87" s="679" customFormat="1" ht="13.5"/>
    <row r="88" s="679" customFormat="1" ht="13.5"/>
    <row r="89" s="679" customFormat="1" ht="13.5"/>
    <row r="90" s="679" customFormat="1" ht="13.5"/>
    <row r="91" s="679" customFormat="1" ht="13.5"/>
    <row r="92" s="679" customFormat="1" ht="13.5"/>
    <row r="93" s="679" customFormat="1" ht="13.5"/>
    <row r="94" s="679" customFormat="1" ht="13.5"/>
    <row r="95" s="679" customFormat="1" ht="13.5"/>
    <row r="96" s="679" customFormat="1" ht="13.5"/>
    <row r="97" s="679" customFormat="1" ht="13.5"/>
    <row r="98" s="679" customFormat="1" ht="13.5"/>
    <row r="99" s="679" customFormat="1" ht="13.5"/>
    <row r="100" s="679" customFormat="1" ht="13.5"/>
    <row r="101" s="679" customFormat="1" ht="13.5"/>
    <row r="102" s="679" customFormat="1" ht="13.5"/>
    <row r="103" s="679" customFormat="1" ht="13.5"/>
    <row r="104" s="679" customFormat="1" ht="13.5"/>
    <row r="105" s="679" customFormat="1" ht="13.5"/>
    <row r="106" s="679" customFormat="1" ht="13.5"/>
    <row r="107" s="679" customFormat="1" ht="13.5"/>
    <row r="108" s="679" customFormat="1" ht="13.5"/>
    <row r="109" s="679" customFormat="1" ht="13.5"/>
    <row r="110" s="679" customFormat="1" ht="13.5"/>
    <row r="111" s="679" customFormat="1" ht="13.5"/>
    <row r="112" s="679" customFormat="1" ht="13.5"/>
    <row r="113" s="679" customFormat="1" ht="13.5"/>
    <row r="114" s="679" customFormat="1" ht="13.5"/>
    <row r="115" s="679" customFormat="1" ht="13.5"/>
    <row r="116" s="679" customFormat="1" ht="13.5"/>
    <row r="117" s="679" customFormat="1" ht="13.5"/>
    <row r="118" s="679" customFormat="1" ht="13.5"/>
    <row r="119" s="679" customFormat="1" ht="13.5"/>
    <row r="120" s="679" customFormat="1" ht="13.5"/>
    <row r="121" s="679" customFormat="1" ht="13.5"/>
    <row r="122" s="679" customFormat="1" ht="13.5"/>
    <row r="123" s="679" customFormat="1" ht="13.5"/>
    <row r="124" s="679" customFormat="1" ht="13.5"/>
    <row r="125" s="679" customFormat="1" ht="13.5"/>
    <row r="126" s="679" customFormat="1" ht="13.5"/>
    <row r="127" s="679" customFormat="1" ht="13.5"/>
    <row r="128" s="679" customFormat="1" ht="13.5"/>
    <row r="129" s="679" customFormat="1" ht="13.5"/>
    <row r="130" s="679" customFormat="1" ht="13.5"/>
    <row r="131" s="679" customFormat="1" ht="13.5"/>
    <row r="132" s="679" customFormat="1" ht="13.5"/>
    <row r="133" s="679" customFormat="1" ht="13.5"/>
    <row r="134" s="679" customFormat="1" ht="13.5"/>
    <row r="135" s="679" customFormat="1" ht="13.5"/>
    <row r="136" s="679" customFormat="1" ht="13.5"/>
    <row r="137" s="679" customFormat="1" ht="13.5"/>
    <row r="138" s="679" customFormat="1" ht="13.5"/>
    <row r="139" s="679" customFormat="1" ht="13.5"/>
    <row r="140" s="679" customFormat="1" ht="13.5"/>
    <row r="141" s="679" customFormat="1" ht="13.5"/>
    <row r="142" s="679" customFormat="1" ht="13.5"/>
    <row r="143" s="679" customFormat="1" ht="13.5"/>
    <row r="144" s="679" customFormat="1" ht="13.5"/>
    <row r="145" s="679" customFormat="1" ht="13.5"/>
    <row r="146" s="679" customFormat="1" ht="13.5"/>
    <row r="147" s="679" customFormat="1" ht="13.5"/>
    <row r="148" s="679" customFormat="1" ht="13.5"/>
    <row r="149" s="679" customFormat="1" ht="13.5"/>
    <row r="150" s="679" customFormat="1" ht="13.5"/>
    <row r="151" s="679" customFormat="1" ht="13.5"/>
  </sheetData>
  <mergeCells count="4">
    <mergeCell ref="A2:J2"/>
    <mergeCell ref="D24:H24"/>
    <mergeCell ref="D25:H25"/>
    <mergeCell ref="D28:H28"/>
  </mergeCells>
  <phoneticPr fontId="7" type="noConversion"/>
  <pageMargins left="0.36" right="0.25" top="0.79" bottom="0.71" header="0.52" footer="0.5"/>
  <pageSetup paperSize="9" scale="94" orientation="portrait" horizontalDpi="4294967293" verticalDpi="4294967293" r:id="rId1"/>
  <headerFooter alignWithMargins="0"/>
  <colBreaks count="1" manualBreakCount="1">
    <brk id="10" max="50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59"/>
  <sheetViews>
    <sheetView view="pageBreakPreview" zoomScaleNormal="100" zoomScaleSheetLayoutView="100" workbookViewId="0">
      <selection activeCell="C41" sqref="C41"/>
    </sheetView>
  </sheetViews>
  <sheetFormatPr defaultRowHeight="12.95" customHeight="1"/>
  <cols>
    <col min="1" max="2" width="9" style="575"/>
    <col min="3" max="3" width="16.25" style="575" customWidth="1"/>
    <col min="4" max="4" width="13.75" style="134" customWidth="1"/>
    <col min="5" max="5" width="13.75" style="694" customWidth="1"/>
    <col min="6" max="6" width="10.875" style="134" customWidth="1"/>
    <col min="7" max="7" width="10" style="134" customWidth="1"/>
    <col min="8" max="9" width="13.375" style="575" bestFit="1" customWidth="1"/>
    <col min="10" max="10" width="16.25" style="576" customWidth="1"/>
    <col min="11" max="11" width="13.75" style="134" customWidth="1"/>
    <col min="12" max="12" width="13.75" style="694" customWidth="1"/>
    <col min="13" max="13" width="12.75" style="134" customWidth="1"/>
    <col min="14" max="14" width="10" style="134" customWidth="1"/>
    <col min="15" max="15" width="6.625" style="583" customWidth="1"/>
    <col min="16" max="16" width="4.875" style="695" customWidth="1"/>
    <col min="17" max="18" width="8.75" style="696" customWidth="1"/>
    <col min="19" max="19" width="6.75" style="695" customWidth="1"/>
    <col min="20" max="20" width="5" style="583" customWidth="1"/>
    <col min="21" max="22" width="5.5" style="583" customWidth="1"/>
    <col min="23" max="23" width="6.375" style="583" customWidth="1"/>
    <col min="24" max="16384" width="9" style="583"/>
  </cols>
  <sheetData>
    <row r="1" spans="1:17" ht="8.4499999999999993" customHeight="1"/>
    <row r="2" spans="1:17" ht="23.25" customHeight="1">
      <c r="A2" s="1246" t="s">
        <v>53</v>
      </c>
      <c r="B2" s="1246"/>
      <c r="C2" s="1246"/>
      <c r="D2" s="1246"/>
      <c r="E2" s="1246"/>
      <c r="F2" s="1246"/>
      <c r="G2" s="1246"/>
      <c r="H2" s="1246"/>
      <c r="I2" s="1246"/>
      <c r="J2" s="1246"/>
      <c r="K2" s="1246"/>
      <c r="L2" s="1246"/>
      <c r="M2" s="1246"/>
      <c r="N2" s="1246"/>
    </row>
    <row r="3" spans="1:17" ht="10.5" customHeight="1">
      <c r="A3" s="697"/>
      <c r="B3" s="697"/>
      <c r="C3" s="697"/>
      <c r="D3" s="697"/>
      <c r="E3" s="697"/>
      <c r="F3" s="697"/>
      <c r="G3" s="697"/>
      <c r="H3" s="697"/>
      <c r="I3" s="697"/>
      <c r="J3" s="697"/>
      <c r="K3" s="697"/>
      <c r="L3" s="697"/>
      <c r="M3" s="1247" t="s">
        <v>10</v>
      </c>
      <c r="N3" s="1247"/>
    </row>
    <row r="4" spans="1:17" ht="21.2" customHeight="1">
      <c r="A4" s="1248" t="s">
        <v>5</v>
      </c>
      <c r="B4" s="1249"/>
      <c r="C4" s="1249"/>
      <c r="D4" s="1249"/>
      <c r="E4" s="1249"/>
      <c r="F4" s="1249"/>
      <c r="G4" s="1250"/>
      <c r="H4" s="1253" t="s">
        <v>6</v>
      </c>
      <c r="I4" s="1249"/>
      <c r="J4" s="1249"/>
      <c r="K4" s="1249"/>
      <c r="L4" s="1249"/>
      <c r="M4" s="1254"/>
      <c r="N4" s="1255"/>
    </row>
    <row r="5" spans="1:17" ht="15" customHeight="1">
      <c r="A5" s="1258" t="s">
        <v>0</v>
      </c>
      <c r="B5" s="1252"/>
      <c r="C5" s="1252"/>
      <c r="D5" s="1242" t="s">
        <v>389</v>
      </c>
      <c r="E5" s="1242" t="s">
        <v>387</v>
      </c>
      <c r="F5" s="1242" t="s">
        <v>59</v>
      </c>
      <c r="G5" s="1244" t="s">
        <v>60</v>
      </c>
      <c r="H5" s="1251" t="s">
        <v>0</v>
      </c>
      <c r="I5" s="1252"/>
      <c r="J5" s="1252"/>
      <c r="K5" s="1242" t="str">
        <f>D5</f>
        <v>2020년
당초예산(A)</v>
      </c>
      <c r="L5" s="1242" t="str">
        <f>E5</f>
        <v>1차추경
예산 (B)</v>
      </c>
      <c r="M5" s="1242" t="s">
        <v>58</v>
      </c>
      <c r="N5" s="1256" t="s">
        <v>57</v>
      </c>
    </row>
    <row r="6" spans="1:17" ht="16.5" customHeight="1" thickBot="1">
      <c r="A6" s="698" t="s">
        <v>1</v>
      </c>
      <c r="B6" s="699" t="s">
        <v>2</v>
      </c>
      <c r="C6" s="699" t="s">
        <v>3</v>
      </c>
      <c r="D6" s="1243"/>
      <c r="E6" s="1243"/>
      <c r="F6" s="1243"/>
      <c r="G6" s="1245"/>
      <c r="H6" s="700" t="s">
        <v>1</v>
      </c>
      <c r="I6" s="699" t="s">
        <v>2</v>
      </c>
      <c r="J6" s="701" t="s">
        <v>3</v>
      </c>
      <c r="K6" s="1243"/>
      <c r="L6" s="1243"/>
      <c r="M6" s="1243"/>
      <c r="N6" s="1257"/>
    </row>
    <row r="7" spans="1:17" ht="24" customHeight="1" thickTop="1" thickBot="1">
      <c r="A7" s="1261" t="s">
        <v>4</v>
      </c>
      <c r="B7" s="1262"/>
      <c r="C7" s="1262"/>
      <c r="D7" s="702">
        <f>D8+D11+D14+D17+D25+D31+D35+D46</f>
        <v>3230720000</v>
      </c>
      <c r="E7" s="702">
        <f>E8+E11+E14+E17+E25+E31+E35+E46</f>
        <v>3629150000.0309882</v>
      </c>
      <c r="F7" s="702">
        <f>F8+F11+F14+F17+F25+F31+F35+F46</f>
        <v>398430000.0309881</v>
      </c>
      <c r="G7" s="669">
        <f>F7/D7*100</f>
        <v>12.332545068312577</v>
      </c>
      <c r="H7" s="1263" t="s">
        <v>4</v>
      </c>
      <c r="I7" s="1264"/>
      <c r="J7" s="1264"/>
      <c r="K7" s="703">
        <f>SUM(K8,K25,K30,K46,K49,K52)</f>
        <v>3230720000</v>
      </c>
      <c r="L7" s="703">
        <f>SUM(L8,L25,L30,L46,L49,L52)</f>
        <v>3629150000.3532939</v>
      </c>
      <c r="M7" s="996">
        <f>L7-K7</f>
        <v>398430000.3532939</v>
      </c>
      <c r="N7" s="660">
        <f>M7/K7*100</f>
        <v>12.332545078288861</v>
      </c>
      <c r="P7" s="704"/>
      <c r="Q7" s="705"/>
    </row>
    <row r="8" spans="1:17" ht="17.25" customHeight="1" thickTop="1">
      <c r="A8" s="706" t="s">
        <v>308</v>
      </c>
      <c r="B8" s="1259" t="s">
        <v>309</v>
      </c>
      <c r="C8" s="1259"/>
      <c r="D8" s="707">
        <v>134400000</v>
      </c>
      <c r="E8" s="707">
        <f t="shared" ref="E8:E9" si="0">E9</f>
        <v>134400000</v>
      </c>
      <c r="F8" s="708">
        <f>F9</f>
        <v>0</v>
      </c>
      <c r="G8" s="670">
        <f>F8/D8*100</f>
        <v>0</v>
      </c>
      <c r="H8" s="709" t="s">
        <v>111</v>
      </c>
      <c r="I8" s="710" t="s">
        <v>92</v>
      </c>
      <c r="J8" s="710"/>
      <c r="K8" s="711">
        <v>2628751180</v>
      </c>
      <c r="L8" s="712">
        <f>SUM(L9,L16,L18)</f>
        <v>2981036365.3532939</v>
      </c>
      <c r="M8" s="661">
        <f>L8-K8</f>
        <v>352285185.3532939</v>
      </c>
      <c r="N8" s="872">
        <f>M8/K8*100</f>
        <v>13.401237364477147</v>
      </c>
      <c r="Q8" s="713"/>
    </row>
    <row r="9" spans="1:17" ht="17.25" customHeight="1">
      <c r="A9" s="714"/>
      <c r="B9" s="715" t="s">
        <v>311</v>
      </c>
      <c r="C9" s="715" t="s">
        <v>312</v>
      </c>
      <c r="D9" s="716">
        <v>134400000</v>
      </c>
      <c r="E9" s="716">
        <f t="shared" si="0"/>
        <v>134400000</v>
      </c>
      <c r="F9" s="717">
        <f>F10</f>
        <v>0</v>
      </c>
      <c r="G9" s="671">
        <f>F9/D9*100</f>
        <v>0</v>
      </c>
      <c r="H9" s="718"/>
      <c r="I9" s="719" t="s">
        <v>112</v>
      </c>
      <c r="J9" s="719" t="s">
        <v>94</v>
      </c>
      <c r="K9" s="668">
        <v>2393247270</v>
      </c>
      <c r="L9" s="668">
        <f>SUM(L10:L15)</f>
        <v>2741079200.3532939</v>
      </c>
      <c r="M9" s="663">
        <f>L9-K9</f>
        <v>347831930.3532939</v>
      </c>
      <c r="N9" s="873">
        <f>M9/K9*100</f>
        <v>14.533890196531758</v>
      </c>
      <c r="P9" s="720"/>
      <c r="Q9" s="713"/>
    </row>
    <row r="10" spans="1:17" ht="17.25" customHeight="1">
      <c r="A10" s="714"/>
      <c r="B10" s="721"/>
      <c r="C10" s="1216" t="s">
        <v>311</v>
      </c>
      <c r="D10" s="722">
        <v>134400000</v>
      </c>
      <c r="E10" s="722">
        <f>'다. 세입내역서'!E9</f>
        <v>134400000</v>
      </c>
      <c r="F10" s="723">
        <f>E10-D10</f>
        <v>0</v>
      </c>
      <c r="G10" s="672">
        <f t="shared" ref="G10:G22" si="1">F10/D10*100</f>
        <v>0</v>
      </c>
      <c r="H10" s="718"/>
      <c r="I10" s="606"/>
      <c r="J10" s="1219" t="s">
        <v>1079</v>
      </c>
      <c r="K10" s="607">
        <v>1479465000</v>
      </c>
      <c r="L10" s="607">
        <f>'라. 세출내역서'!E9</f>
        <v>1687166000</v>
      </c>
      <c r="M10" s="609">
        <f>L10-K10</f>
        <v>207701000</v>
      </c>
      <c r="N10" s="874">
        <f t="shared" ref="N10:N17" si="2">M10/K10*100</f>
        <v>14.038926233469532</v>
      </c>
    </row>
    <row r="11" spans="1:17" ht="17.25" customHeight="1">
      <c r="A11" s="724" t="s">
        <v>314</v>
      </c>
      <c r="B11" s="1260" t="s">
        <v>309</v>
      </c>
      <c r="C11" s="1260"/>
      <c r="D11" s="725">
        <v>0</v>
      </c>
      <c r="E11" s="725">
        <f t="shared" ref="E11:F12" si="3">E12</f>
        <v>0</v>
      </c>
      <c r="F11" s="726">
        <f t="shared" si="3"/>
        <v>0</v>
      </c>
      <c r="G11" s="673">
        <v>0</v>
      </c>
      <c r="H11" s="718"/>
      <c r="I11" s="606"/>
      <c r="J11" s="1219" t="s">
        <v>1080</v>
      </c>
      <c r="K11" s="607">
        <v>9600000</v>
      </c>
      <c r="L11" s="607">
        <f>'라. 세출내역서'!E133</f>
        <v>9600000</v>
      </c>
      <c r="M11" s="609">
        <f t="shared" ref="M11:M24" si="4">L11-K11</f>
        <v>0</v>
      </c>
      <c r="N11" s="874">
        <f t="shared" si="2"/>
        <v>0</v>
      </c>
    </row>
    <row r="12" spans="1:17" ht="17.25" customHeight="1">
      <c r="A12" s="714"/>
      <c r="B12" s="715" t="s">
        <v>314</v>
      </c>
      <c r="C12" s="715" t="s">
        <v>312</v>
      </c>
      <c r="D12" s="716">
        <v>0</v>
      </c>
      <c r="E12" s="716">
        <f t="shared" si="3"/>
        <v>0</v>
      </c>
      <c r="F12" s="717">
        <f t="shared" si="3"/>
        <v>0</v>
      </c>
      <c r="G12" s="671">
        <v>0</v>
      </c>
      <c r="H12" s="718"/>
      <c r="I12" s="606"/>
      <c r="J12" s="1219" t="s">
        <v>1081</v>
      </c>
      <c r="K12" s="607">
        <v>509510880</v>
      </c>
      <c r="L12" s="607">
        <f>'라. 세출내역서'!E135</f>
        <v>597343050</v>
      </c>
      <c r="M12" s="609">
        <f t="shared" si="4"/>
        <v>87832170</v>
      </c>
      <c r="N12" s="874">
        <f t="shared" si="2"/>
        <v>17.238526878954968</v>
      </c>
      <c r="O12" s="633"/>
    </row>
    <row r="13" spans="1:17" ht="17.25" customHeight="1">
      <c r="A13" s="714"/>
      <c r="B13" s="721"/>
      <c r="C13" s="1216" t="s">
        <v>316</v>
      </c>
      <c r="D13" s="722">
        <v>0</v>
      </c>
      <c r="E13" s="722">
        <f>'[1]다-2.자부담세입'!E13</f>
        <v>0</v>
      </c>
      <c r="F13" s="723">
        <f>E13-D13</f>
        <v>0</v>
      </c>
      <c r="G13" s="672">
        <v>0</v>
      </c>
      <c r="H13" s="718"/>
      <c r="I13" s="606"/>
      <c r="J13" s="1219" t="s">
        <v>115</v>
      </c>
      <c r="K13" s="607">
        <v>164978100</v>
      </c>
      <c r="L13" s="607">
        <f>'라. 세출내역서'!E482</f>
        <v>187840130</v>
      </c>
      <c r="M13" s="609">
        <f t="shared" si="4"/>
        <v>22862030</v>
      </c>
      <c r="N13" s="874">
        <f t="shared" si="2"/>
        <v>13.857615041026659</v>
      </c>
      <c r="O13" s="633"/>
    </row>
    <row r="14" spans="1:17" ht="17.25" customHeight="1">
      <c r="A14" s="724" t="s">
        <v>318</v>
      </c>
      <c r="B14" s="1260" t="s">
        <v>309</v>
      </c>
      <c r="C14" s="1260"/>
      <c r="D14" s="725">
        <v>0</v>
      </c>
      <c r="E14" s="725">
        <f t="shared" ref="E14:F14" si="5">E15</f>
        <v>0</v>
      </c>
      <c r="F14" s="726">
        <f t="shared" si="5"/>
        <v>0</v>
      </c>
      <c r="G14" s="673">
        <v>0</v>
      </c>
      <c r="H14" s="718"/>
      <c r="I14" s="606"/>
      <c r="J14" s="1219" t="s">
        <v>116</v>
      </c>
      <c r="K14" s="607">
        <v>187693290</v>
      </c>
      <c r="L14" s="607">
        <f>'라. 세출내역서'!E486</f>
        <v>222130020.35329375</v>
      </c>
      <c r="M14" s="609">
        <f t="shared" si="4"/>
        <v>34436730.353293747</v>
      </c>
      <c r="N14" s="874">
        <f t="shared" si="2"/>
        <v>18.347342280213503</v>
      </c>
      <c r="O14" s="633"/>
      <c r="P14" s="705"/>
    </row>
    <row r="15" spans="1:17" ht="17.25" customHeight="1">
      <c r="A15" s="714"/>
      <c r="B15" s="715" t="s">
        <v>318</v>
      </c>
      <c r="C15" s="715" t="s">
        <v>312</v>
      </c>
      <c r="D15" s="716">
        <v>0</v>
      </c>
      <c r="E15" s="716">
        <f>E16</f>
        <v>0</v>
      </c>
      <c r="F15" s="717">
        <f>F16</f>
        <v>0</v>
      </c>
      <c r="G15" s="671">
        <v>0</v>
      </c>
      <c r="H15" s="718"/>
      <c r="I15" s="606"/>
      <c r="J15" s="1219" t="s">
        <v>117</v>
      </c>
      <c r="K15" s="607">
        <v>42000000</v>
      </c>
      <c r="L15" s="607">
        <f>'라. 세출내역서'!E502</f>
        <v>37000000</v>
      </c>
      <c r="M15" s="609">
        <f>L15-K15</f>
        <v>-5000000</v>
      </c>
      <c r="N15" s="874">
        <f>M15/K15*100</f>
        <v>-11.904761904761903</v>
      </c>
      <c r="O15" s="633"/>
    </row>
    <row r="16" spans="1:17" ht="17.25" customHeight="1">
      <c r="A16" s="714"/>
      <c r="B16" s="721"/>
      <c r="C16" s="1216" t="s">
        <v>318</v>
      </c>
      <c r="D16" s="722">
        <v>0</v>
      </c>
      <c r="E16" s="722">
        <v>0</v>
      </c>
      <c r="F16" s="723">
        <f>E16-D16</f>
        <v>0</v>
      </c>
      <c r="G16" s="672">
        <v>0</v>
      </c>
      <c r="H16" s="718"/>
      <c r="I16" s="719" t="s">
        <v>118</v>
      </c>
      <c r="J16" s="719" t="s">
        <v>94</v>
      </c>
      <c r="K16" s="663">
        <v>2490000</v>
      </c>
      <c r="L16" s="663">
        <v>2000000</v>
      </c>
      <c r="M16" s="663">
        <f>L16-K16</f>
        <v>-490000</v>
      </c>
      <c r="N16" s="873">
        <f>M16/K16*100</f>
        <v>-19.678714859437751</v>
      </c>
      <c r="O16" s="633"/>
    </row>
    <row r="17" spans="1:18" ht="17.25" customHeight="1">
      <c r="A17" s="724" t="s">
        <v>322</v>
      </c>
      <c r="B17" s="1205" t="s">
        <v>309</v>
      </c>
      <c r="C17" s="1205"/>
      <c r="D17" s="132">
        <v>2591323820</v>
      </c>
      <c r="E17" s="132">
        <f>E18</f>
        <v>2961571470.0309882</v>
      </c>
      <c r="F17" s="727">
        <f>F18+F24+F29</f>
        <v>370247650.0309881</v>
      </c>
      <c r="G17" s="673">
        <f>F17/D17*100</f>
        <v>14.287973088249082</v>
      </c>
      <c r="H17" s="718"/>
      <c r="I17" s="617"/>
      <c r="J17" s="606" t="s">
        <v>119</v>
      </c>
      <c r="K17" s="609">
        <v>2490000</v>
      </c>
      <c r="L17" s="609">
        <f>'라. 세출내역서'!E515</f>
        <v>2000000</v>
      </c>
      <c r="M17" s="609">
        <f t="shared" si="4"/>
        <v>-490000</v>
      </c>
      <c r="N17" s="874">
        <f t="shared" si="2"/>
        <v>-19.678714859437751</v>
      </c>
      <c r="O17" s="633"/>
    </row>
    <row r="18" spans="1:18" ht="17.25" customHeight="1">
      <c r="A18" s="714"/>
      <c r="B18" s="715" t="s">
        <v>386</v>
      </c>
      <c r="C18" s="715" t="s">
        <v>312</v>
      </c>
      <c r="D18" s="728">
        <f>SUM(D19:D22)</f>
        <v>2591323820</v>
      </c>
      <c r="E18" s="728">
        <f>SUM(E19:E22)</f>
        <v>2961571470.0309882</v>
      </c>
      <c r="F18" s="729">
        <f>SUM(F19:F22)</f>
        <v>370247650.0309881</v>
      </c>
      <c r="G18" s="671">
        <f>F18/D18*100</f>
        <v>14.287973088249082</v>
      </c>
      <c r="H18" s="718"/>
      <c r="I18" s="730" t="s">
        <v>120</v>
      </c>
      <c r="J18" s="730" t="s">
        <v>94</v>
      </c>
      <c r="K18" s="663">
        <v>233013910</v>
      </c>
      <c r="L18" s="663">
        <f>SUM(L19:L24)</f>
        <v>237957165</v>
      </c>
      <c r="M18" s="663">
        <f>L18-K18</f>
        <v>4943255</v>
      </c>
      <c r="N18" s="873">
        <f>M18/K18*100</f>
        <v>2.1214420203497721</v>
      </c>
      <c r="O18" s="633"/>
      <c r="Q18" s="713"/>
    </row>
    <row r="19" spans="1:18" ht="17.25" customHeight="1">
      <c r="A19" s="714"/>
      <c r="B19" s="721"/>
      <c r="C19" s="1217" t="s">
        <v>325</v>
      </c>
      <c r="D19" s="731">
        <v>1672616764</v>
      </c>
      <c r="E19" s="731">
        <f>'다. 세입내역서'!E18</f>
        <v>1928458500</v>
      </c>
      <c r="F19" s="723">
        <f>E19-D19</f>
        <v>255841736</v>
      </c>
      <c r="G19" s="672">
        <f t="shared" si="1"/>
        <v>15.295896914734019</v>
      </c>
      <c r="H19" s="718"/>
      <c r="I19" s="620"/>
      <c r="J19" s="620" t="s">
        <v>1078</v>
      </c>
      <c r="K19" s="609">
        <v>5000000</v>
      </c>
      <c r="L19" s="609">
        <f>'라. 세출내역서'!E520</f>
        <v>2000000</v>
      </c>
      <c r="M19" s="609">
        <f t="shared" si="4"/>
        <v>-3000000</v>
      </c>
      <c r="N19" s="874">
        <f t="shared" ref="N19:N24" si="6">M19/K19*100</f>
        <v>-60</v>
      </c>
      <c r="O19" s="633"/>
    </row>
    <row r="20" spans="1:18" ht="17.25" customHeight="1">
      <c r="A20" s="732"/>
      <c r="B20" s="721"/>
      <c r="C20" s="1217" t="s">
        <v>496</v>
      </c>
      <c r="D20" s="731">
        <v>717435756</v>
      </c>
      <c r="E20" s="731">
        <f>'다. 세입내역서'!E23</f>
        <v>827081870.0309881</v>
      </c>
      <c r="F20" s="723">
        <f>E20-D20</f>
        <v>109646114.0309881</v>
      </c>
      <c r="G20" s="672">
        <f t="shared" si="1"/>
        <v>15.283056791357929</v>
      </c>
      <c r="H20" s="718"/>
      <c r="I20" s="620"/>
      <c r="J20" s="1220" t="s">
        <v>122</v>
      </c>
      <c r="K20" s="607">
        <v>55288080</v>
      </c>
      <c r="L20" s="607">
        <f>'라. 세출내역서'!E522</f>
        <v>57956715</v>
      </c>
      <c r="M20" s="609">
        <f t="shared" si="4"/>
        <v>2668635</v>
      </c>
      <c r="N20" s="874">
        <f t="shared" si="6"/>
        <v>4.8267818307309636</v>
      </c>
      <c r="O20" s="633"/>
    </row>
    <row r="21" spans="1:18" ht="17.25" customHeight="1">
      <c r="A21" s="714"/>
      <c r="B21" s="721"/>
      <c r="C21" s="1217" t="s">
        <v>328</v>
      </c>
      <c r="D21" s="731">
        <v>194551300</v>
      </c>
      <c r="E21" s="731">
        <f>'다. 세입내역서'!E28</f>
        <v>199311100</v>
      </c>
      <c r="F21" s="723">
        <f>E21-D21</f>
        <v>4759800</v>
      </c>
      <c r="G21" s="672">
        <f t="shared" si="1"/>
        <v>2.446552657319689</v>
      </c>
      <c r="H21" s="718"/>
      <c r="I21" s="620"/>
      <c r="J21" s="1220" t="s">
        <v>123</v>
      </c>
      <c r="K21" s="607">
        <v>119100000</v>
      </c>
      <c r="L21" s="607">
        <f>'라. 세출내역서'!E539</f>
        <v>135000000</v>
      </c>
      <c r="M21" s="609">
        <f t="shared" si="4"/>
        <v>15900000</v>
      </c>
      <c r="N21" s="874">
        <f t="shared" si="6"/>
        <v>13.350125944584383</v>
      </c>
      <c r="O21" s="633"/>
    </row>
    <row r="22" spans="1:18" ht="17.25" customHeight="1">
      <c r="A22" s="714"/>
      <c r="B22" s="721"/>
      <c r="C22" s="1217" t="s">
        <v>706</v>
      </c>
      <c r="D22" s="731">
        <v>6720000</v>
      </c>
      <c r="E22" s="731">
        <f>'다. 세입내역서'!E36</f>
        <v>6720000</v>
      </c>
      <c r="F22" s="723">
        <f>E22-D22</f>
        <v>0</v>
      </c>
      <c r="G22" s="672">
        <f t="shared" si="1"/>
        <v>0</v>
      </c>
      <c r="H22" s="718"/>
      <c r="I22" s="620"/>
      <c r="J22" s="1220" t="s">
        <v>124</v>
      </c>
      <c r="K22" s="607">
        <v>13625830</v>
      </c>
      <c r="L22" s="607">
        <f>'라. 세출내역서'!E546</f>
        <v>13700450</v>
      </c>
      <c r="M22" s="609">
        <f t="shared" si="4"/>
        <v>74620</v>
      </c>
      <c r="N22" s="874">
        <f t="shared" si="6"/>
        <v>0.5476363641701093</v>
      </c>
      <c r="O22" s="633"/>
      <c r="P22" s="720"/>
      <c r="Q22" s="713"/>
      <c r="R22" s="713"/>
    </row>
    <row r="23" spans="1:18" ht="17.25" customHeight="1">
      <c r="A23" s="733"/>
      <c r="B23" s="721"/>
      <c r="C23" s="721"/>
      <c r="D23" s="731"/>
      <c r="E23" s="731"/>
      <c r="F23" s="734"/>
      <c r="G23" s="672"/>
      <c r="H23" s="718"/>
      <c r="I23" s="620"/>
      <c r="J23" s="1220" t="s">
        <v>125</v>
      </c>
      <c r="K23" s="607">
        <v>26000000</v>
      </c>
      <c r="L23" s="607">
        <f>'라. 세출내역서'!E554</f>
        <v>22800000</v>
      </c>
      <c r="M23" s="609">
        <f t="shared" si="4"/>
        <v>-3200000</v>
      </c>
      <c r="N23" s="874">
        <f t="shared" si="6"/>
        <v>-12.307692307692308</v>
      </c>
      <c r="O23" s="633"/>
      <c r="P23" s="720"/>
      <c r="Q23" s="713"/>
      <c r="R23" s="713"/>
    </row>
    <row r="24" spans="1:18" ht="17.25" customHeight="1">
      <c r="A24" s="714"/>
      <c r="B24" s="721"/>
      <c r="C24" s="721"/>
      <c r="D24" s="731"/>
      <c r="E24" s="731"/>
      <c r="F24" s="734"/>
      <c r="G24" s="672"/>
      <c r="H24" s="718"/>
      <c r="I24" s="620"/>
      <c r="J24" s="1220" t="s">
        <v>126</v>
      </c>
      <c r="K24" s="607">
        <v>14000000</v>
      </c>
      <c r="L24" s="607">
        <f>'라. 세출내역서'!E557</f>
        <v>6500000</v>
      </c>
      <c r="M24" s="609">
        <f t="shared" si="4"/>
        <v>-7500000</v>
      </c>
      <c r="N24" s="874">
        <f t="shared" si="6"/>
        <v>-53.571428571428569</v>
      </c>
      <c r="O24" s="633"/>
      <c r="P24" s="720"/>
      <c r="Q24" s="713"/>
      <c r="R24" s="713"/>
    </row>
    <row r="25" spans="1:18" ht="17.25" customHeight="1">
      <c r="A25" s="724" t="s">
        <v>338</v>
      </c>
      <c r="B25" s="1205" t="s">
        <v>309</v>
      </c>
      <c r="C25" s="1205"/>
      <c r="D25" s="132">
        <v>364200000</v>
      </c>
      <c r="E25" s="132">
        <f>E26+E29</f>
        <v>378460000</v>
      </c>
      <c r="F25" s="727">
        <f>F26+F29</f>
        <v>14260000</v>
      </c>
      <c r="G25" s="673">
        <f>F25/D25*100</f>
        <v>3.9154310818231743</v>
      </c>
      <c r="H25" s="735" t="s">
        <v>127</v>
      </c>
      <c r="I25" s="622" t="s">
        <v>92</v>
      </c>
      <c r="J25" s="622"/>
      <c r="K25" s="623">
        <v>167900000</v>
      </c>
      <c r="L25" s="623">
        <f>L26</f>
        <v>229830000</v>
      </c>
      <c r="M25" s="623">
        <f>L25-K25</f>
        <v>61930000</v>
      </c>
      <c r="N25" s="875">
        <f>M25/K25*100</f>
        <v>36.885050625372244</v>
      </c>
      <c r="O25" s="633"/>
      <c r="P25" s="720"/>
      <c r="Q25" s="713"/>
      <c r="R25" s="713"/>
    </row>
    <row r="26" spans="1:18" ht="17.25" customHeight="1">
      <c r="A26" s="714"/>
      <c r="B26" s="715" t="s">
        <v>339</v>
      </c>
      <c r="C26" s="715" t="s">
        <v>312</v>
      </c>
      <c r="D26" s="728">
        <v>364200000</v>
      </c>
      <c r="E26" s="728">
        <f>SUM(E27:E28)</f>
        <v>378460000</v>
      </c>
      <c r="F26" s="729">
        <f>SUM(F27:F28)</f>
        <v>14260000</v>
      </c>
      <c r="G26" s="671">
        <f>F26/D26*100</f>
        <v>3.9154310818231743</v>
      </c>
      <c r="H26" s="718"/>
      <c r="I26" s="730" t="s">
        <v>128</v>
      </c>
      <c r="J26" s="730" t="s">
        <v>94</v>
      </c>
      <c r="K26" s="668">
        <v>167900000</v>
      </c>
      <c r="L26" s="668">
        <f>SUM(L27:L29)</f>
        <v>229830000</v>
      </c>
      <c r="M26" s="663">
        <f>L26-K26</f>
        <v>61930000</v>
      </c>
      <c r="N26" s="873">
        <f>M26/K26*100</f>
        <v>36.885050625372244</v>
      </c>
      <c r="O26" s="633"/>
      <c r="P26" s="720"/>
      <c r="Q26" s="713"/>
      <c r="R26" s="713"/>
    </row>
    <row r="27" spans="1:18" ht="17.25" customHeight="1">
      <c r="A27" s="714"/>
      <c r="B27" s="721"/>
      <c r="C27" s="1216" t="s">
        <v>341</v>
      </c>
      <c r="D27" s="731">
        <v>14200000</v>
      </c>
      <c r="E27" s="731">
        <f>'다. 세입내역서'!E39</f>
        <v>38500000</v>
      </c>
      <c r="F27" s="723">
        <f>E27-D27</f>
        <v>24300000</v>
      </c>
      <c r="G27" s="674">
        <f t="shared" ref="G27:G28" si="7">F27/D27*100</f>
        <v>171.12676056338029</v>
      </c>
      <c r="H27" s="718"/>
      <c r="I27" s="620"/>
      <c r="J27" s="1220" t="s">
        <v>1082</v>
      </c>
      <c r="K27" s="607">
        <v>10000000</v>
      </c>
      <c r="L27" s="607">
        <f>'라. 세출내역서'!E563</f>
        <v>0</v>
      </c>
      <c r="M27" s="667">
        <f t="shared" ref="M27:M29" si="8">L27-K27</f>
        <v>-10000000</v>
      </c>
      <c r="N27" s="874">
        <f t="shared" ref="N27:N29" si="9">M27/K27*100</f>
        <v>-100</v>
      </c>
      <c r="O27" s="633"/>
      <c r="P27" s="720"/>
      <c r="Q27" s="713"/>
      <c r="R27" s="713"/>
    </row>
    <row r="28" spans="1:18" ht="17.25" customHeight="1">
      <c r="A28" s="714"/>
      <c r="B28" s="721"/>
      <c r="C28" s="1216" t="s">
        <v>343</v>
      </c>
      <c r="D28" s="731">
        <v>350000000</v>
      </c>
      <c r="E28" s="731">
        <f>'다. 세입내역서'!E40</f>
        <v>339960000</v>
      </c>
      <c r="F28" s="723">
        <f>E28-D28</f>
        <v>-10040000</v>
      </c>
      <c r="G28" s="869">
        <f t="shared" si="7"/>
        <v>-2.8685714285714288</v>
      </c>
      <c r="H28" s="718"/>
      <c r="I28" s="606"/>
      <c r="J28" s="1219" t="s">
        <v>129</v>
      </c>
      <c r="K28" s="607">
        <v>65900000</v>
      </c>
      <c r="L28" s="607">
        <f>'라. 세출내역서'!E564</f>
        <v>107730000</v>
      </c>
      <c r="M28" s="667">
        <f t="shared" si="8"/>
        <v>41830000</v>
      </c>
      <c r="N28" s="874">
        <f t="shared" si="9"/>
        <v>63.474962063732931</v>
      </c>
      <c r="O28" s="633"/>
      <c r="P28" s="720"/>
      <c r="Q28" s="713"/>
    </row>
    <row r="29" spans="1:18" ht="17.25" customHeight="1">
      <c r="A29" s="714"/>
      <c r="B29" s="721"/>
      <c r="C29" s="721"/>
      <c r="D29" s="731"/>
      <c r="E29" s="731"/>
      <c r="F29" s="734"/>
      <c r="G29" s="674"/>
      <c r="H29" s="718"/>
      <c r="I29" s="606"/>
      <c r="J29" s="1219" t="s">
        <v>130</v>
      </c>
      <c r="K29" s="607">
        <v>92000000</v>
      </c>
      <c r="L29" s="607">
        <f>'라. 세출내역서'!E580</f>
        <v>122100000</v>
      </c>
      <c r="M29" s="609">
        <f t="shared" si="8"/>
        <v>30100000</v>
      </c>
      <c r="N29" s="874">
        <f t="shared" si="9"/>
        <v>32.717391304347828</v>
      </c>
      <c r="O29" s="633"/>
      <c r="P29" s="720"/>
      <c r="Q29" s="713"/>
    </row>
    <row r="30" spans="1:18" ht="17.25" customHeight="1">
      <c r="A30" s="714"/>
      <c r="B30" s="721"/>
      <c r="C30" s="721"/>
      <c r="D30" s="731"/>
      <c r="E30" s="731"/>
      <c r="F30" s="723"/>
      <c r="G30" s="674"/>
      <c r="H30" s="735" t="s">
        <v>131</v>
      </c>
      <c r="I30" s="628" t="s">
        <v>92</v>
      </c>
      <c r="J30" s="628"/>
      <c r="K30" s="623">
        <v>401372640</v>
      </c>
      <c r="L30" s="623">
        <f>SUM(L31,L37,L44)</f>
        <v>408115000</v>
      </c>
      <c r="M30" s="623">
        <f>L30-K30</f>
        <v>6742360</v>
      </c>
      <c r="N30" s="875">
        <f>M30/K30*100</f>
        <v>1.6798255107772169</v>
      </c>
      <c r="O30" s="633"/>
      <c r="P30" s="720"/>
      <c r="Q30" s="713"/>
    </row>
    <row r="31" spans="1:18" ht="17.25" customHeight="1">
      <c r="A31" s="724" t="s">
        <v>346</v>
      </c>
      <c r="B31" s="1205" t="s">
        <v>309</v>
      </c>
      <c r="C31" s="1205"/>
      <c r="D31" s="132">
        <v>40000000</v>
      </c>
      <c r="E31" s="132">
        <f>E32</f>
        <v>40000000</v>
      </c>
      <c r="F31" s="727">
        <f t="shared" ref="E31:F32" si="10">F32</f>
        <v>0</v>
      </c>
      <c r="G31" s="673">
        <f>F31/D31*100</f>
        <v>0</v>
      </c>
      <c r="H31" s="718"/>
      <c r="I31" s="719" t="s">
        <v>120</v>
      </c>
      <c r="J31" s="719" t="s">
        <v>94</v>
      </c>
      <c r="K31" s="668">
        <v>254332640</v>
      </c>
      <c r="L31" s="668">
        <f>SUM(L32:L36)</f>
        <v>274239200</v>
      </c>
      <c r="M31" s="663">
        <f>L31-K31</f>
        <v>19906560</v>
      </c>
      <c r="N31" s="873">
        <f>M31/K31*100</f>
        <v>7.8269780866506169</v>
      </c>
      <c r="O31" s="633"/>
      <c r="P31" s="720"/>
      <c r="Q31" s="713"/>
    </row>
    <row r="32" spans="1:18" ht="17.25" customHeight="1">
      <c r="A32" s="714"/>
      <c r="B32" s="715" t="s">
        <v>346</v>
      </c>
      <c r="C32" s="715" t="s">
        <v>312</v>
      </c>
      <c r="D32" s="728">
        <v>40000000</v>
      </c>
      <c r="E32" s="728">
        <f t="shared" si="10"/>
        <v>40000000</v>
      </c>
      <c r="F32" s="729">
        <f t="shared" si="10"/>
        <v>0</v>
      </c>
      <c r="G32" s="671">
        <f>F32/D32*100</f>
        <v>0</v>
      </c>
      <c r="H32" s="718"/>
      <c r="I32" s="606"/>
      <c r="J32" s="1219" t="s">
        <v>1083</v>
      </c>
      <c r="K32" s="607">
        <v>209362640</v>
      </c>
      <c r="L32" s="607">
        <f>'라. 세출내역서'!E599</f>
        <v>230739200</v>
      </c>
      <c r="M32" s="609">
        <f t="shared" ref="M32:M36" si="11">L32-K32</f>
        <v>21376560</v>
      </c>
      <c r="N32" s="874">
        <f t="shared" ref="N32:N35" si="12">M32/K32*100</f>
        <v>10.210303041650603</v>
      </c>
      <c r="O32" s="633"/>
      <c r="P32" s="720"/>
      <c r="Q32" s="713"/>
    </row>
    <row r="33" spans="1:17" ht="17.25" customHeight="1">
      <c r="A33" s="714"/>
      <c r="B33" s="721"/>
      <c r="C33" s="1216" t="s">
        <v>348</v>
      </c>
      <c r="D33" s="731">
        <v>40000000</v>
      </c>
      <c r="E33" s="731">
        <f>'다. 세입내역서'!E43</f>
        <v>40000000</v>
      </c>
      <c r="F33" s="723">
        <f>E33-D33</f>
        <v>0</v>
      </c>
      <c r="G33" s="674">
        <f t="shared" ref="G33" si="13">F33/D33*100</f>
        <v>0</v>
      </c>
      <c r="H33" s="718"/>
      <c r="I33" s="606"/>
      <c r="J33" s="1219" t="s">
        <v>133</v>
      </c>
      <c r="K33" s="607">
        <v>37970000</v>
      </c>
      <c r="L33" s="607">
        <f>'라. 세출내역서'!E605</f>
        <v>36500000</v>
      </c>
      <c r="M33" s="609">
        <f>L33-K33</f>
        <v>-1470000</v>
      </c>
      <c r="N33" s="874">
        <f>M33/K33*100</f>
        <v>-3.871477482222808</v>
      </c>
      <c r="O33" s="633"/>
      <c r="P33" s="720"/>
      <c r="Q33" s="713"/>
    </row>
    <row r="34" spans="1:17" ht="17.25" customHeight="1">
      <c r="A34" s="714"/>
      <c r="B34" s="721"/>
      <c r="C34" s="721"/>
      <c r="D34" s="731"/>
      <c r="E34" s="731"/>
      <c r="F34" s="723"/>
      <c r="G34" s="674"/>
      <c r="H34" s="718"/>
      <c r="I34" s="606"/>
      <c r="J34" s="1219" t="s">
        <v>1086</v>
      </c>
      <c r="K34" s="607">
        <v>4000000</v>
      </c>
      <c r="L34" s="607">
        <f>'라. 세출내역서'!E610</f>
        <v>4000000</v>
      </c>
      <c r="M34" s="609">
        <f t="shared" si="11"/>
        <v>0</v>
      </c>
      <c r="N34" s="874">
        <f t="shared" si="12"/>
        <v>0</v>
      </c>
      <c r="O34" s="633"/>
      <c r="P34" s="720"/>
      <c r="Q34" s="713"/>
    </row>
    <row r="35" spans="1:17" ht="17.25" customHeight="1">
      <c r="A35" s="724" t="s">
        <v>349</v>
      </c>
      <c r="B35" s="1205" t="s">
        <v>309</v>
      </c>
      <c r="C35" s="1205"/>
      <c r="D35" s="132">
        <v>53487000</v>
      </c>
      <c r="E35" s="132">
        <f>E36</f>
        <v>53404680</v>
      </c>
      <c r="F35" s="727">
        <f>F36</f>
        <v>-82320</v>
      </c>
      <c r="G35" s="870">
        <f>F35/D35*100</f>
        <v>-0.15390655673341186</v>
      </c>
      <c r="H35" s="718"/>
      <c r="I35" s="606"/>
      <c r="J35" s="1219" t="s">
        <v>1084</v>
      </c>
      <c r="K35" s="607">
        <v>3000000</v>
      </c>
      <c r="L35" s="607">
        <f>'라. 세출내역서'!E612</f>
        <v>3000000</v>
      </c>
      <c r="M35" s="609">
        <f t="shared" si="11"/>
        <v>0</v>
      </c>
      <c r="N35" s="874">
        <f t="shared" si="12"/>
        <v>0</v>
      </c>
      <c r="O35" s="633"/>
      <c r="P35" s="720"/>
      <c r="Q35" s="713"/>
    </row>
    <row r="36" spans="1:17" ht="17.25" customHeight="1">
      <c r="A36" s="714"/>
      <c r="B36" s="715" t="s">
        <v>349</v>
      </c>
      <c r="C36" s="715" t="s">
        <v>312</v>
      </c>
      <c r="D36" s="728">
        <f>SUM(D37:D41)</f>
        <v>53487000</v>
      </c>
      <c r="E36" s="728">
        <f>SUM(E37:E41)</f>
        <v>53404680</v>
      </c>
      <c r="F36" s="729">
        <f>SUM(F37:F41)</f>
        <v>-82320</v>
      </c>
      <c r="G36" s="871">
        <f>F36/D36*100</f>
        <v>-0.15390655673341186</v>
      </c>
      <c r="H36" s="736"/>
      <c r="I36" s="737"/>
      <c r="J36" s="1219" t="s">
        <v>1085</v>
      </c>
      <c r="K36" s="738">
        <v>0</v>
      </c>
      <c r="L36" s="607">
        <f>'라. 세출내역서'!E614</f>
        <v>0</v>
      </c>
      <c r="M36" s="609">
        <f t="shared" si="11"/>
        <v>0</v>
      </c>
      <c r="N36" s="874">
        <v>0</v>
      </c>
      <c r="O36" s="633"/>
    </row>
    <row r="37" spans="1:17" ht="17.25" customHeight="1">
      <c r="A37" s="714"/>
      <c r="B37" s="721"/>
      <c r="C37" s="789" t="s">
        <v>1101</v>
      </c>
      <c r="D37" s="133">
        <f>'다. 세입내역서'!D46</f>
        <v>31287000</v>
      </c>
      <c r="E37" s="133">
        <f>'다. 세입내역서'!E46</f>
        <v>8513190</v>
      </c>
      <c r="F37" s="790">
        <f t="shared" ref="F37:F41" si="14">E37-D37</f>
        <v>-22773810</v>
      </c>
      <c r="G37" s="869">
        <f t="shared" ref="G37" si="15">F37/D37*100</f>
        <v>-72.790008629782335</v>
      </c>
      <c r="H37" s="736"/>
      <c r="I37" s="739" t="s">
        <v>131</v>
      </c>
      <c r="J37" s="719" t="s">
        <v>94</v>
      </c>
      <c r="K37" s="740">
        <v>145540000</v>
      </c>
      <c r="L37" s="740">
        <f>SUM(L38:L43)</f>
        <v>131055800</v>
      </c>
      <c r="M37" s="668">
        <v>-14484200</v>
      </c>
      <c r="N37" s="873">
        <f>M37/K37*100</f>
        <v>-9.95204067610279</v>
      </c>
      <c r="O37" s="633"/>
    </row>
    <row r="38" spans="1:17" ht="17.25" customHeight="1">
      <c r="A38" s="714"/>
      <c r="B38" s="721"/>
      <c r="C38" s="789" t="s">
        <v>1109</v>
      </c>
      <c r="D38" s="133">
        <f>'다. 세입내역서'!D47</f>
        <v>500000</v>
      </c>
      <c r="E38" s="133">
        <f>'다. 세입내역서'!E47</f>
        <v>3080563</v>
      </c>
      <c r="F38" s="790">
        <f t="shared" si="14"/>
        <v>2580563</v>
      </c>
      <c r="G38" s="869">
        <v>0</v>
      </c>
      <c r="H38" s="736"/>
      <c r="I38" s="737"/>
      <c r="J38" s="1219" t="s">
        <v>287</v>
      </c>
      <c r="K38" s="738">
        <v>89000000</v>
      </c>
      <c r="L38" s="738">
        <f>'라. 세출내역서'!E616</f>
        <v>72427000</v>
      </c>
      <c r="M38" s="609">
        <f t="shared" ref="M38:M45" si="16">L38-K38</f>
        <v>-16573000</v>
      </c>
      <c r="N38" s="874">
        <f t="shared" ref="N38:N45" si="17">M38/K38*100</f>
        <v>-18.621348314606742</v>
      </c>
      <c r="O38" s="633"/>
    </row>
    <row r="39" spans="1:17" ht="17.25" customHeight="1">
      <c r="A39" s="714"/>
      <c r="B39" s="721"/>
      <c r="C39" s="789" t="s">
        <v>1102</v>
      </c>
      <c r="D39" s="133">
        <f>'다. 세입내역서'!D48</f>
        <v>5800000</v>
      </c>
      <c r="E39" s="133">
        <f>'다. 세입내역서'!E48</f>
        <v>19352559</v>
      </c>
      <c r="F39" s="790">
        <f t="shared" si="14"/>
        <v>13552559</v>
      </c>
      <c r="G39" s="869">
        <v>0</v>
      </c>
      <c r="H39" s="736"/>
      <c r="I39" s="737"/>
      <c r="J39" s="1219" t="s">
        <v>288</v>
      </c>
      <c r="K39" s="738">
        <v>5000000</v>
      </c>
      <c r="L39" s="738">
        <f>'라. 세출내역서'!E635</f>
        <v>5000000</v>
      </c>
      <c r="M39" s="609">
        <f t="shared" si="16"/>
        <v>0</v>
      </c>
      <c r="N39" s="874">
        <f t="shared" si="17"/>
        <v>0</v>
      </c>
    </row>
    <row r="40" spans="1:17" ht="17.25" customHeight="1">
      <c r="A40" s="714"/>
      <c r="B40" s="721"/>
      <c r="C40" s="781" t="s">
        <v>1103</v>
      </c>
      <c r="D40" s="133">
        <f>'다. 세입내역서'!D49</f>
        <v>15900000</v>
      </c>
      <c r="E40" s="133">
        <f>'다. 세입내역서'!E49</f>
        <v>22458368</v>
      </c>
      <c r="F40" s="790">
        <f t="shared" si="14"/>
        <v>6558368</v>
      </c>
      <c r="G40" s="869">
        <v>0</v>
      </c>
      <c r="H40" s="736"/>
      <c r="I40" s="737"/>
      <c r="J40" s="1219" t="s">
        <v>289</v>
      </c>
      <c r="K40" s="738">
        <v>32840000</v>
      </c>
      <c r="L40" s="738">
        <f>'라. 세출내역서'!E637</f>
        <v>32840000</v>
      </c>
      <c r="M40" s="609">
        <f t="shared" si="16"/>
        <v>0</v>
      </c>
      <c r="N40" s="874">
        <f t="shared" si="17"/>
        <v>0</v>
      </c>
    </row>
    <row r="41" spans="1:17" ht="17.25" customHeight="1">
      <c r="A41" s="714"/>
      <c r="B41" s="721"/>
      <c r="C41" s="795" t="s">
        <v>106</v>
      </c>
      <c r="D41" s="133">
        <f>'다. 세입내역서'!D50</f>
        <v>0</v>
      </c>
      <c r="E41" s="133">
        <f>'다. 세입내역서'!E50</f>
        <v>0</v>
      </c>
      <c r="F41" s="782">
        <f t="shared" si="14"/>
        <v>0</v>
      </c>
      <c r="G41" s="869"/>
      <c r="H41" s="736"/>
      <c r="I41" s="737"/>
      <c r="J41" s="1219" t="s">
        <v>290</v>
      </c>
      <c r="K41" s="738">
        <v>6600000</v>
      </c>
      <c r="L41" s="738">
        <f>'라. 세출내역서'!E643</f>
        <v>6600000</v>
      </c>
      <c r="M41" s="609">
        <f t="shared" si="16"/>
        <v>0</v>
      </c>
      <c r="N41" s="874">
        <f t="shared" si="17"/>
        <v>0</v>
      </c>
    </row>
    <row r="42" spans="1:17" ht="17.25" customHeight="1">
      <c r="A42" s="714"/>
      <c r="B42" s="721"/>
      <c r="C42" s="721"/>
      <c r="D42" s="731"/>
      <c r="E42" s="731"/>
      <c r="F42" s="723"/>
      <c r="G42" s="869"/>
      <c r="H42" s="736"/>
      <c r="I42" s="737"/>
      <c r="J42" s="1219" t="s">
        <v>291</v>
      </c>
      <c r="K42" s="738">
        <v>10000000</v>
      </c>
      <c r="L42" s="738">
        <f>'라. 세출내역서'!E646</f>
        <v>10000000</v>
      </c>
      <c r="M42" s="609">
        <f t="shared" si="16"/>
        <v>0</v>
      </c>
      <c r="N42" s="874">
        <f t="shared" si="17"/>
        <v>0</v>
      </c>
    </row>
    <row r="43" spans="1:17" ht="17.25" customHeight="1">
      <c r="A43" s="714"/>
      <c r="B43" s="721"/>
      <c r="C43" s="721"/>
      <c r="D43" s="731"/>
      <c r="E43" s="731"/>
      <c r="F43" s="723"/>
      <c r="G43" s="869"/>
      <c r="H43" s="736"/>
      <c r="I43" s="737"/>
      <c r="J43" s="1219" t="s">
        <v>292</v>
      </c>
      <c r="K43" s="738">
        <v>2100000</v>
      </c>
      <c r="L43" s="738">
        <f>'라. 세출내역서'!E650</f>
        <v>4188800</v>
      </c>
      <c r="M43" s="609">
        <f t="shared" si="16"/>
        <v>2088800</v>
      </c>
      <c r="N43" s="874">
        <f t="shared" si="17"/>
        <v>99.466666666666669</v>
      </c>
    </row>
    <row r="44" spans="1:17" ht="17.25" customHeight="1">
      <c r="A44" s="714"/>
      <c r="B44" s="721"/>
      <c r="C44" s="721"/>
      <c r="D44" s="731"/>
      <c r="E44" s="731"/>
      <c r="F44" s="723"/>
      <c r="G44" s="869"/>
      <c r="H44" s="736"/>
      <c r="I44" s="739" t="s">
        <v>293</v>
      </c>
      <c r="J44" s="719" t="s">
        <v>94</v>
      </c>
      <c r="K44" s="740">
        <v>1500000</v>
      </c>
      <c r="L44" s="740">
        <f>L45</f>
        <v>2820000</v>
      </c>
      <c r="M44" s="663">
        <f>L44-K44</f>
        <v>1320000</v>
      </c>
      <c r="N44" s="873">
        <f>M44/K44*100</f>
        <v>88</v>
      </c>
    </row>
    <row r="45" spans="1:17" ht="17.25" customHeight="1">
      <c r="A45" s="714"/>
      <c r="B45" s="721"/>
      <c r="C45" s="721"/>
      <c r="D45" s="731"/>
      <c r="E45" s="731"/>
      <c r="F45" s="723"/>
      <c r="G45" s="869"/>
      <c r="H45" s="736"/>
      <c r="I45" s="737"/>
      <c r="J45" s="1219" t="s">
        <v>294</v>
      </c>
      <c r="K45" s="738">
        <v>1500000</v>
      </c>
      <c r="L45" s="738">
        <f>'라. 세출내역서'!E654</f>
        <v>2820000</v>
      </c>
      <c r="M45" s="609">
        <f t="shared" si="16"/>
        <v>1320000</v>
      </c>
      <c r="N45" s="874">
        <f t="shared" si="17"/>
        <v>88</v>
      </c>
    </row>
    <row r="46" spans="1:17" ht="17.25" customHeight="1">
      <c r="A46" s="724" t="s">
        <v>353</v>
      </c>
      <c r="B46" s="1205" t="s">
        <v>309</v>
      </c>
      <c r="C46" s="1205"/>
      <c r="D46" s="132">
        <v>47309180</v>
      </c>
      <c r="E46" s="132">
        <f>E47</f>
        <v>61313850</v>
      </c>
      <c r="F46" s="727">
        <f>F47</f>
        <v>14004670</v>
      </c>
      <c r="G46" s="870">
        <f>F46/D46*100</f>
        <v>29.602436567279334</v>
      </c>
      <c r="H46" s="741" t="s">
        <v>295</v>
      </c>
      <c r="I46" s="742" t="s">
        <v>92</v>
      </c>
      <c r="J46" s="628"/>
      <c r="K46" s="743">
        <v>800000</v>
      </c>
      <c r="L46" s="743">
        <f>L47</f>
        <v>1040105</v>
      </c>
      <c r="M46" s="623">
        <f>L46-K46</f>
        <v>240105</v>
      </c>
      <c r="N46" s="875">
        <f>M46/K46*100</f>
        <v>30.013125000000002</v>
      </c>
    </row>
    <row r="47" spans="1:17" ht="17.25" customHeight="1">
      <c r="A47" s="714"/>
      <c r="B47" s="715" t="s">
        <v>353</v>
      </c>
      <c r="C47" s="715" t="s">
        <v>312</v>
      </c>
      <c r="D47" s="728">
        <v>47309180</v>
      </c>
      <c r="E47" s="728">
        <f>SUM(E48:E50)</f>
        <v>61313850</v>
      </c>
      <c r="F47" s="729">
        <f>SUM(F48:F50)</f>
        <v>14004670</v>
      </c>
      <c r="G47" s="871">
        <f>F47/D47*100</f>
        <v>29.602436567279334</v>
      </c>
      <c r="H47" s="736"/>
      <c r="I47" s="739" t="s">
        <v>295</v>
      </c>
      <c r="J47" s="719" t="s">
        <v>94</v>
      </c>
      <c r="K47" s="740">
        <v>800000</v>
      </c>
      <c r="L47" s="740">
        <f>L48</f>
        <v>1040105</v>
      </c>
      <c r="M47" s="663">
        <f>L47-K47</f>
        <v>240105</v>
      </c>
      <c r="N47" s="873">
        <f>M47/K47*100</f>
        <v>30.013125000000002</v>
      </c>
    </row>
    <row r="48" spans="1:17" ht="17.25" customHeight="1">
      <c r="A48" s="714"/>
      <c r="B48" s="721"/>
      <c r="C48" s="1216" t="s">
        <v>356</v>
      </c>
      <c r="D48" s="731">
        <v>500000</v>
      </c>
      <c r="E48" s="731">
        <f>'다. 세입내역서'!E53</f>
        <v>500000</v>
      </c>
      <c r="F48" s="723">
        <f>E48-D48</f>
        <v>0</v>
      </c>
      <c r="G48" s="869">
        <f t="shared" ref="G48:G50" si="18">F48/D48*100</f>
        <v>0</v>
      </c>
      <c r="H48" s="736"/>
      <c r="I48" s="737"/>
      <c r="J48" s="1219" t="s">
        <v>295</v>
      </c>
      <c r="K48" s="738">
        <v>800000</v>
      </c>
      <c r="L48" s="738">
        <f>'라. 세출내역서'!E658</f>
        <v>1040105</v>
      </c>
      <c r="M48" s="609">
        <f t="shared" ref="M48" si="19">L48-K48</f>
        <v>240105</v>
      </c>
      <c r="N48" s="874">
        <f t="shared" ref="N48" si="20">M48/K48*100</f>
        <v>30.013125000000002</v>
      </c>
    </row>
    <row r="49" spans="1:14" ht="17.25" customHeight="1">
      <c r="A49" s="714"/>
      <c r="B49" s="721"/>
      <c r="C49" s="1216" t="s">
        <v>358</v>
      </c>
      <c r="D49" s="731">
        <v>1759180</v>
      </c>
      <c r="E49" s="731">
        <f>'다. 세입내역서'!E54</f>
        <v>1763850</v>
      </c>
      <c r="F49" s="723">
        <f>E49-D49</f>
        <v>4670</v>
      </c>
      <c r="G49" s="869">
        <f t="shared" si="18"/>
        <v>0.26546459145738355</v>
      </c>
      <c r="H49" s="741" t="s">
        <v>138</v>
      </c>
      <c r="I49" s="742" t="s">
        <v>92</v>
      </c>
      <c r="J49" s="628"/>
      <c r="K49" s="743">
        <v>609180</v>
      </c>
      <c r="L49" s="743">
        <f>L50</f>
        <v>615340</v>
      </c>
      <c r="M49" s="623">
        <f>L49-K49</f>
        <v>6160</v>
      </c>
      <c r="N49" s="875">
        <f>M49/K49*100</f>
        <v>1.0111953773925604</v>
      </c>
    </row>
    <row r="50" spans="1:14" ht="17.25" customHeight="1">
      <c r="A50" s="714"/>
      <c r="B50" s="721"/>
      <c r="C50" s="1216" t="s">
        <v>359</v>
      </c>
      <c r="D50" s="731">
        <v>45050000</v>
      </c>
      <c r="E50" s="731">
        <f>'다. 세입내역서'!E55</f>
        <v>59050000</v>
      </c>
      <c r="F50" s="723">
        <f>E50-D50</f>
        <v>14000000</v>
      </c>
      <c r="G50" s="869">
        <f t="shared" si="18"/>
        <v>31.076581576026634</v>
      </c>
      <c r="H50" s="736"/>
      <c r="I50" s="739" t="s">
        <v>138</v>
      </c>
      <c r="J50" s="719" t="s">
        <v>94</v>
      </c>
      <c r="K50" s="740">
        <v>609180</v>
      </c>
      <c r="L50" s="740">
        <f>L51</f>
        <v>615340</v>
      </c>
      <c r="M50" s="663">
        <f>L50-K50</f>
        <v>6160</v>
      </c>
      <c r="N50" s="873">
        <f>M50/K50*100</f>
        <v>1.0111953773925604</v>
      </c>
    </row>
    <row r="51" spans="1:14" ht="17.25" customHeight="1">
      <c r="A51" s="1212"/>
      <c r="B51" s="1213"/>
      <c r="C51" s="1213"/>
      <c r="D51" s="1214"/>
      <c r="E51" s="1214"/>
      <c r="F51" s="1215"/>
      <c r="G51" s="869"/>
      <c r="H51" s="736"/>
      <c r="I51" s="737"/>
      <c r="J51" s="1219" t="s">
        <v>138</v>
      </c>
      <c r="K51" s="738">
        <v>609180</v>
      </c>
      <c r="L51" s="738">
        <f>'라. 세출내역서'!E664</f>
        <v>615340</v>
      </c>
      <c r="M51" s="609">
        <f t="shared" ref="M51" si="21">L51-K51</f>
        <v>6160</v>
      </c>
      <c r="N51" s="874">
        <f t="shared" ref="N51" si="22">M51/K51*100</f>
        <v>1.0111953773925604</v>
      </c>
    </row>
    <row r="52" spans="1:14" ht="17.25" customHeight="1">
      <c r="A52" s="714"/>
      <c r="B52" s="721"/>
      <c r="C52" s="721"/>
      <c r="D52" s="731"/>
      <c r="E52" s="731"/>
      <c r="F52" s="723"/>
      <c r="G52" s="674"/>
      <c r="H52" s="741" t="s">
        <v>139</v>
      </c>
      <c r="I52" s="742" t="s">
        <v>92</v>
      </c>
      <c r="J52" s="628"/>
      <c r="K52" s="743">
        <v>31287000</v>
      </c>
      <c r="L52" s="743">
        <f>L53</f>
        <v>8513190</v>
      </c>
      <c r="M52" s="623">
        <f>L52-K52</f>
        <v>-22773810</v>
      </c>
      <c r="N52" s="875">
        <f>M52/K52*100</f>
        <v>-72.790008629782335</v>
      </c>
    </row>
    <row r="53" spans="1:14" ht="17.25" customHeight="1">
      <c r="A53" s="714"/>
      <c r="B53" s="721"/>
      <c r="C53" s="721"/>
      <c r="D53" s="731"/>
      <c r="E53" s="731"/>
      <c r="F53" s="723"/>
      <c r="G53" s="674"/>
      <c r="H53" s="736"/>
      <c r="I53" s="739" t="s">
        <v>139</v>
      </c>
      <c r="J53" s="719" t="s">
        <v>94</v>
      </c>
      <c r="K53" s="740">
        <v>31287000</v>
      </c>
      <c r="L53" s="740">
        <f>L54</f>
        <v>8513190</v>
      </c>
      <c r="M53" s="663">
        <f>L53-K53</f>
        <v>-22773810</v>
      </c>
      <c r="N53" s="873">
        <f>M53/K53*100</f>
        <v>-72.790008629782335</v>
      </c>
    </row>
    <row r="54" spans="1:14" ht="17.25" customHeight="1">
      <c r="A54" s="1209"/>
      <c r="B54" s="1210"/>
      <c r="C54" s="1210"/>
      <c r="D54" s="1193"/>
      <c r="E54" s="1193"/>
      <c r="F54" s="1211"/>
      <c r="G54" s="675"/>
      <c r="H54" s="748"/>
      <c r="I54" s="749"/>
      <c r="J54" s="1218" t="s">
        <v>296</v>
      </c>
      <c r="K54" s="751">
        <v>31287000</v>
      </c>
      <c r="L54" s="751">
        <f>'라. 세출내역서'!E668</f>
        <v>8513190</v>
      </c>
      <c r="M54" s="651">
        <f t="shared" ref="M54" si="23">L54-K54</f>
        <v>-22773810</v>
      </c>
      <c r="N54" s="876">
        <f t="shared" ref="N54" si="24">M54/K54*100</f>
        <v>-72.790008629782335</v>
      </c>
    </row>
    <row r="55" spans="1:14" ht="12.95" customHeight="1">
      <c r="A55" s="752"/>
      <c r="B55" s="752"/>
      <c r="C55" s="752"/>
      <c r="H55" s="753"/>
      <c r="I55" s="753"/>
      <c r="J55" s="754"/>
      <c r="K55" s="640"/>
      <c r="L55" s="640"/>
      <c r="M55" s="640"/>
      <c r="N55" s="640"/>
    </row>
    <row r="56" spans="1:14" ht="12.95" customHeight="1">
      <c r="H56" s="755"/>
      <c r="I56" s="755"/>
      <c r="J56" s="756"/>
      <c r="K56" s="640"/>
      <c r="L56" s="640"/>
      <c r="M56" s="640"/>
      <c r="N56" s="640"/>
    </row>
    <row r="57" spans="1:14" ht="12.95" customHeight="1">
      <c r="H57" s="755"/>
      <c r="I57" s="755"/>
      <c r="J57" s="756"/>
      <c r="K57" s="640"/>
      <c r="L57" s="640"/>
      <c r="M57" s="640"/>
      <c r="N57" s="640"/>
    </row>
    <row r="58" spans="1:14" ht="12.95" customHeight="1">
      <c r="H58" s="757"/>
      <c r="I58" s="757"/>
      <c r="J58" s="758"/>
      <c r="K58" s="694"/>
      <c r="M58" s="694"/>
      <c r="N58" s="694"/>
    </row>
    <row r="59" spans="1:14" ht="12.95" customHeight="1">
      <c r="H59" s="757"/>
      <c r="I59" s="757"/>
      <c r="J59" s="758"/>
      <c r="K59" s="694"/>
      <c r="M59" s="694"/>
      <c r="N59" s="694"/>
    </row>
  </sheetData>
  <mergeCells count="19">
    <mergeCell ref="B8:C8"/>
    <mergeCell ref="B11:C11"/>
    <mergeCell ref="B14:C14"/>
    <mergeCell ref="A7:C7"/>
    <mergeCell ref="H7:J7"/>
    <mergeCell ref="D5:D6"/>
    <mergeCell ref="K5:K6"/>
    <mergeCell ref="G5:G6"/>
    <mergeCell ref="F5:F6"/>
    <mergeCell ref="A2:N2"/>
    <mergeCell ref="M3:N3"/>
    <mergeCell ref="A4:G4"/>
    <mergeCell ref="L5:L6"/>
    <mergeCell ref="H5:J5"/>
    <mergeCell ref="H4:N4"/>
    <mergeCell ref="N5:N6"/>
    <mergeCell ref="M5:M6"/>
    <mergeCell ref="A5:C5"/>
    <mergeCell ref="E5:E6"/>
  </mergeCells>
  <phoneticPr fontId="4" type="noConversion"/>
  <printOptions horizontalCentered="1"/>
  <pageMargins left="0.34" right="0.14000000000000001" top="0.33" bottom="0.13" header="0.2" footer="0.13"/>
  <pageSetup paperSize="9" scale="83" fitToHeight="0" orientation="landscape" horizontalDpi="4294967293" verticalDpi="4294967293" r:id="rId1"/>
  <headerFooter alignWithMargins="0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55"/>
  <sheetViews>
    <sheetView zoomScale="110" zoomScaleNormal="110" zoomScaleSheetLayoutView="70" workbookViewId="0">
      <selection activeCell="S10" sqref="S10"/>
    </sheetView>
  </sheetViews>
  <sheetFormatPr defaultRowHeight="12.95" customHeight="1"/>
  <cols>
    <col min="1" max="2" width="10.375" style="575" customWidth="1"/>
    <col min="3" max="3" width="17.5" style="575" customWidth="1"/>
    <col min="4" max="4" width="13.75" style="577" customWidth="1"/>
    <col min="5" max="5" width="13.75" style="134" customWidth="1"/>
    <col min="6" max="6" width="12.125" style="134" customWidth="1"/>
    <col min="7" max="7" width="8.5" style="759" customWidth="1"/>
    <col min="8" max="8" width="15.125" style="752" customWidth="1"/>
    <col min="9" max="9" width="36.375" style="581" customWidth="1"/>
    <col min="10" max="10" width="25" style="581" customWidth="1"/>
    <col min="11" max="11" width="13" style="581" hidden="1" customWidth="1"/>
    <col min="12" max="12" width="13.5" style="583" hidden="1" customWidth="1"/>
    <col min="13" max="14" width="11.875" style="583" hidden="1" customWidth="1"/>
    <col min="15" max="16" width="11.875" style="583" customWidth="1"/>
    <col min="17" max="16384" width="9" style="583"/>
  </cols>
  <sheetData>
    <row r="1" spans="1:15" ht="12" customHeight="1"/>
    <row r="2" spans="1:15" ht="27.75" customHeight="1">
      <c r="A2" s="1298" t="s">
        <v>62</v>
      </c>
      <c r="B2" s="1298"/>
      <c r="C2" s="1298"/>
      <c r="D2" s="1298"/>
      <c r="E2" s="1298"/>
      <c r="F2" s="1298"/>
      <c r="G2" s="1298"/>
      <c r="H2" s="1298"/>
      <c r="I2" s="1298"/>
      <c r="J2" s="1298"/>
      <c r="K2" s="760"/>
    </row>
    <row r="3" spans="1:15" ht="22.7" customHeight="1">
      <c r="A3" s="590"/>
      <c r="B3" s="590"/>
      <c r="C3" s="590"/>
      <c r="D3" s="590"/>
      <c r="E3" s="590"/>
      <c r="F3" s="590"/>
      <c r="G3" s="761"/>
      <c r="H3" s="590"/>
      <c r="I3" s="590"/>
      <c r="J3" s="762" t="s">
        <v>10</v>
      </c>
      <c r="K3" s="763"/>
    </row>
    <row r="4" spans="1:15" s="134" customFormat="1" ht="22.7" customHeight="1">
      <c r="A4" s="1302" t="s">
        <v>0</v>
      </c>
      <c r="B4" s="1302"/>
      <c r="C4" s="1302"/>
      <c r="D4" s="1242" t="s">
        <v>389</v>
      </c>
      <c r="E4" s="1242" t="s">
        <v>387</v>
      </c>
      <c r="F4" s="1242" t="s">
        <v>58</v>
      </c>
      <c r="G4" s="1314" t="s">
        <v>57</v>
      </c>
      <c r="H4" s="1303" t="s">
        <v>8</v>
      </c>
      <c r="I4" s="1304"/>
      <c r="J4" s="1305"/>
      <c r="K4" s="575"/>
      <c r="O4" s="583"/>
    </row>
    <row r="5" spans="1:15" s="134" customFormat="1" ht="22.7" customHeight="1" thickBot="1">
      <c r="A5" s="764" t="s">
        <v>1</v>
      </c>
      <c r="B5" s="764" t="s">
        <v>2</v>
      </c>
      <c r="C5" s="764" t="s">
        <v>11</v>
      </c>
      <c r="D5" s="1243"/>
      <c r="E5" s="1243"/>
      <c r="F5" s="1243"/>
      <c r="G5" s="1315"/>
      <c r="H5" s="1306"/>
      <c r="I5" s="1307"/>
      <c r="J5" s="1308"/>
      <c r="K5" s="575"/>
      <c r="O5" s="583"/>
    </row>
    <row r="6" spans="1:15" s="134" customFormat="1" ht="22.7" customHeight="1" thickTop="1" thickBot="1">
      <c r="A6" s="1299" t="s">
        <v>4</v>
      </c>
      <c r="B6" s="1300"/>
      <c r="C6" s="1301"/>
      <c r="D6" s="765">
        <f>D7+D13+D16+D41+D44+D51+D10+D37</f>
        <v>3230720000</v>
      </c>
      <c r="E6" s="766">
        <f>E7+E13+E16+E41+E44+E51+E10+E37</f>
        <v>3629150000.0309882</v>
      </c>
      <c r="F6" s="767">
        <f>F7+F13+F16+F41+F44+F51+F10+F37</f>
        <v>398430000.03098822</v>
      </c>
      <c r="G6" s="768">
        <f>F6/D6*100</f>
        <v>12.33254506831258</v>
      </c>
      <c r="H6" s="1309"/>
      <c r="I6" s="1310"/>
      <c r="J6" s="1311"/>
      <c r="K6" s="769">
        <f>E6-'라. 세출내역서'!E6</f>
        <v>-0.32230567932128906</v>
      </c>
      <c r="O6" s="583"/>
    </row>
    <row r="7" spans="1:15" s="776" customFormat="1" ht="17.25" customHeight="1" thickTop="1">
      <c r="A7" s="770" t="s">
        <v>91</v>
      </c>
      <c r="B7" s="771" t="s">
        <v>92</v>
      </c>
      <c r="C7" s="771"/>
      <c r="D7" s="772">
        <f>D8</f>
        <v>134400000</v>
      </c>
      <c r="E7" s="772">
        <v>134400000</v>
      </c>
      <c r="F7" s="772">
        <f>F8</f>
        <v>0</v>
      </c>
      <c r="G7" s="773">
        <f t="shared" ref="G7:G55" si="0">F7/D7*100</f>
        <v>0</v>
      </c>
      <c r="H7" s="1312"/>
      <c r="I7" s="1312"/>
      <c r="J7" s="1313"/>
      <c r="K7" s="774"/>
      <c r="L7" s="775"/>
    </row>
    <row r="8" spans="1:15" s="776" customFormat="1" ht="17.25" customHeight="1">
      <c r="A8" s="777"/>
      <c r="B8" s="778" t="s">
        <v>93</v>
      </c>
      <c r="C8" s="778" t="s">
        <v>94</v>
      </c>
      <c r="D8" s="779">
        <f>D9</f>
        <v>134400000</v>
      </c>
      <c r="E8" s="779">
        <v>134400000</v>
      </c>
      <c r="F8" s="779">
        <f>F9</f>
        <v>0</v>
      </c>
      <c r="G8" s="780">
        <f t="shared" si="0"/>
        <v>0</v>
      </c>
      <c r="H8" s="1288"/>
      <c r="I8" s="1288"/>
      <c r="J8" s="1297"/>
      <c r="K8" s="774"/>
    </row>
    <row r="9" spans="1:15" s="776" customFormat="1" ht="17.25" customHeight="1">
      <c r="A9" s="777"/>
      <c r="B9" s="781"/>
      <c r="C9" s="781" t="s">
        <v>93</v>
      </c>
      <c r="D9" s="782">
        <v>134400000</v>
      </c>
      <c r="E9" s="782">
        <v>134400000</v>
      </c>
      <c r="F9" s="782">
        <f>E9-D9</f>
        <v>0</v>
      </c>
      <c r="G9" s="783">
        <f t="shared" si="0"/>
        <v>0</v>
      </c>
      <c r="H9" s="1316" t="s">
        <v>460</v>
      </c>
      <c r="I9" s="1317"/>
      <c r="J9" s="1318"/>
      <c r="K9" s="784"/>
    </row>
    <row r="10" spans="1:15" s="776" customFormat="1" ht="17.25" customHeight="1">
      <c r="A10" s="785" t="s">
        <v>95</v>
      </c>
      <c r="B10" s="786" t="s">
        <v>92</v>
      </c>
      <c r="C10" s="786"/>
      <c r="D10" s="787">
        <v>0</v>
      </c>
      <c r="E10" s="787">
        <v>0</v>
      </c>
      <c r="F10" s="787">
        <v>0</v>
      </c>
      <c r="G10" s="773">
        <v>0</v>
      </c>
      <c r="H10" s="1294"/>
      <c r="I10" s="1295"/>
      <c r="J10" s="1296"/>
      <c r="K10" s="784"/>
    </row>
    <row r="11" spans="1:15" s="776" customFormat="1" ht="17.25" customHeight="1">
      <c r="A11" s="788"/>
      <c r="B11" s="778" t="s">
        <v>95</v>
      </c>
      <c r="C11" s="778" t="s">
        <v>94</v>
      </c>
      <c r="D11" s="779">
        <v>0</v>
      </c>
      <c r="E11" s="779">
        <v>0</v>
      </c>
      <c r="F11" s="779">
        <v>0</v>
      </c>
      <c r="G11" s="780">
        <v>0</v>
      </c>
      <c r="H11" s="1288"/>
      <c r="I11" s="1289"/>
      <c r="J11" s="1290"/>
      <c r="K11" s="784"/>
    </row>
    <row r="12" spans="1:15" s="776" customFormat="1" ht="17.25" customHeight="1">
      <c r="A12" s="788"/>
      <c r="B12" s="789"/>
      <c r="C12" s="789" t="s">
        <v>96</v>
      </c>
      <c r="D12" s="790">
        <v>0</v>
      </c>
      <c r="E12" s="790">
        <v>0</v>
      </c>
      <c r="F12" s="790">
        <v>0</v>
      </c>
      <c r="G12" s="783">
        <v>0</v>
      </c>
      <c r="H12" s="1291"/>
      <c r="I12" s="1292"/>
      <c r="J12" s="1293"/>
      <c r="K12" s="784"/>
    </row>
    <row r="13" spans="1:15" s="776" customFormat="1" ht="17.25" customHeight="1">
      <c r="A13" s="785" t="s">
        <v>97</v>
      </c>
      <c r="B13" s="786" t="s">
        <v>92</v>
      </c>
      <c r="C13" s="786"/>
      <c r="D13" s="787">
        <v>0</v>
      </c>
      <c r="E13" s="787">
        <v>0</v>
      </c>
      <c r="F13" s="787">
        <f>E13-D13</f>
        <v>0</v>
      </c>
      <c r="G13" s="773">
        <v>0</v>
      </c>
      <c r="H13" s="1294"/>
      <c r="I13" s="1295"/>
      <c r="J13" s="1296"/>
      <c r="K13" s="784"/>
    </row>
    <row r="14" spans="1:15" s="776" customFormat="1" ht="17.25" customHeight="1">
      <c r="A14" s="788"/>
      <c r="B14" s="778" t="s">
        <v>97</v>
      </c>
      <c r="C14" s="778" t="s">
        <v>94</v>
      </c>
      <c r="D14" s="779">
        <v>0</v>
      </c>
      <c r="E14" s="779">
        <v>0</v>
      </c>
      <c r="F14" s="779">
        <f>E14-D14</f>
        <v>0</v>
      </c>
      <c r="G14" s="780">
        <v>0</v>
      </c>
      <c r="H14" s="1288"/>
      <c r="I14" s="1289"/>
      <c r="J14" s="1290"/>
      <c r="K14" s="784"/>
    </row>
    <row r="15" spans="1:15" s="792" customFormat="1" ht="17.25" customHeight="1">
      <c r="A15" s="788"/>
      <c r="B15" s="789"/>
      <c r="C15" s="789" t="s">
        <v>97</v>
      </c>
      <c r="D15" s="790">
        <v>0</v>
      </c>
      <c r="E15" s="790">
        <v>0</v>
      </c>
      <c r="F15" s="790">
        <v>0</v>
      </c>
      <c r="G15" s="783">
        <v>0</v>
      </c>
      <c r="H15" s="1329"/>
      <c r="I15" s="1330"/>
      <c r="J15" s="1331"/>
      <c r="K15" s="791"/>
    </row>
    <row r="16" spans="1:15" s="776" customFormat="1" ht="17.25" customHeight="1">
      <c r="A16" s="785" t="s">
        <v>98</v>
      </c>
      <c r="B16" s="786" t="s">
        <v>92</v>
      </c>
      <c r="C16" s="786"/>
      <c r="D16" s="787">
        <f>D17</f>
        <v>2591323820</v>
      </c>
      <c r="E16" s="787">
        <f>E17</f>
        <v>2961571470.0309882</v>
      </c>
      <c r="F16" s="787">
        <f>E16-D16</f>
        <v>370247650.03098822</v>
      </c>
      <c r="G16" s="773">
        <f t="shared" si="0"/>
        <v>14.287973088249087</v>
      </c>
      <c r="H16" s="1332"/>
      <c r="I16" s="1333"/>
      <c r="J16" s="1334"/>
      <c r="K16" s="793"/>
    </row>
    <row r="17" spans="1:16" s="776" customFormat="1" ht="17.25" customHeight="1">
      <c r="A17" s="788"/>
      <c r="B17" s="778" t="s">
        <v>742</v>
      </c>
      <c r="C17" s="778" t="s">
        <v>94</v>
      </c>
      <c r="D17" s="779">
        <f>SUM(D18,D23,D28,D36)</f>
        <v>2591323820</v>
      </c>
      <c r="E17" s="779">
        <f>SUM(E18,E23,E28,E36)</f>
        <v>2961571470.0309882</v>
      </c>
      <c r="F17" s="779">
        <f>E17-D17</f>
        <v>370247650.03098822</v>
      </c>
      <c r="G17" s="780">
        <f t="shared" si="0"/>
        <v>14.287973088249087</v>
      </c>
      <c r="H17" s="1326"/>
      <c r="I17" s="1327"/>
      <c r="J17" s="1328"/>
      <c r="K17" s="793"/>
    </row>
    <row r="18" spans="1:16" s="776" customFormat="1" ht="59.25" customHeight="1">
      <c r="A18" s="794"/>
      <c r="B18" s="795"/>
      <c r="C18" s="781" t="s">
        <v>325</v>
      </c>
      <c r="D18" s="796">
        <f>SUM(D19:D22)</f>
        <v>1672616764</v>
      </c>
      <c r="E18" s="796">
        <f>SUM(E19:E22)</f>
        <v>1928458500</v>
      </c>
      <c r="F18" s="782">
        <f>E18-D18</f>
        <v>255841736</v>
      </c>
      <c r="G18" s="863">
        <f t="shared" si="0"/>
        <v>15.295896914734019</v>
      </c>
      <c r="H18" s="1335" t="s">
        <v>1097</v>
      </c>
      <c r="I18" s="1320"/>
      <c r="J18" s="1321"/>
      <c r="K18" s="793"/>
    </row>
    <row r="19" spans="1:16" s="776" customFormat="1" ht="17.25" hidden="1" customHeight="1">
      <c r="A19" s="794"/>
      <c r="B19" s="795"/>
      <c r="C19" s="797" t="s">
        <v>470</v>
      </c>
      <c r="D19" s="798">
        <v>1507743916</v>
      </c>
      <c r="E19" s="796">
        <f>ROUNDUP(('라. 세출내역서'!H8-'다. 세입내역서'!E29-'다. 세입내역서'!E30)*70%,-1)</f>
        <v>1757621160</v>
      </c>
      <c r="F19" s="798">
        <f>E19-D19</f>
        <v>249877244</v>
      </c>
      <c r="G19" s="863">
        <f t="shared" si="0"/>
        <v>16.572923382302012</v>
      </c>
      <c r="H19" s="799"/>
      <c r="I19" s="800"/>
      <c r="J19" s="801"/>
      <c r="K19" s="793"/>
      <c r="L19" s="802"/>
    </row>
    <row r="20" spans="1:16" s="776" customFormat="1" ht="17.25" hidden="1" customHeight="1">
      <c r="A20" s="794"/>
      <c r="B20" s="795"/>
      <c r="C20" s="797" t="s">
        <v>471</v>
      </c>
      <c r="D20" s="798">
        <v>69769000</v>
      </c>
      <c r="E20" s="796">
        <f>('라. 세출내역서'!H519+'라. 세출내역서'!H562+'라. 세출내역서'!H605+'라. 세출내역서'!H616)*70%</f>
        <v>71270500</v>
      </c>
      <c r="F20" s="798">
        <f t="shared" ref="F20:F22" si="1">E20-D20</f>
        <v>1501500</v>
      </c>
      <c r="G20" s="863">
        <f t="shared" si="0"/>
        <v>2.1521019363900873</v>
      </c>
      <c r="H20" s="799"/>
      <c r="I20" s="800"/>
      <c r="J20" s="801"/>
      <c r="K20" s="793"/>
      <c r="L20" s="802"/>
    </row>
    <row r="21" spans="1:16" s="776" customFormat="1" ht="17.25" hidden="1" customHeight="1">
      <c r="A21" s="794"/>
      <c r="B21" s="795"/>
      <c r="C21" s="797" t="s">
        <v>472</v>
      </c>
      <c r="D21" s="798">
        <v>94053848</v>
      </c>
      <c r="E21" s="796">
        <f>'라. 세출내역서'!H599*70%</f>
        <v>98517440</v>
      </c>
      <c r="F21" s="798">
        <f t="shared" si="1"/>
        <v>4463592</v>
      </c>
      <c r="G21" s="863">
        <f t="shared" si="0"/>
        <v>4.7457835005325881</v>
      </c>
      <c r="H21" s="799"/>
      <c r="I21" s="800"/>
      <c r="J21" s="801"/>
      <c r="K21" s="793"/>
      <c r="L21" s="802"/>
    </row>
    <row r="22" spans="1:16" s="776" customFormat="1" ht="17.25" hidden="1" customHeight="1">
      <c r="A22" s="794"/>
      <c r="B22" s="795"/>
      <c r="C22" s="797" t="s">
        <v>473</v>
      </c>
      <c r="D22" s="798">
        <v>1050000</v>
      </c>
      <c r="E22" s="796">
        <f>E27</f>
        <v>1049400</v>
      </c>
      <c r="F22" s="798">
        <f t="shared" si="1"/>
        <v>-600</v>
      </c>
      <c r="G22" s="863">
        <f t="shared" si="0"/>
        <v>-5.7142857142857148E-2</v>
      </c>
      <c r="H22" s="799"/>
      <c r="I22" s="800"/>
      <c r="J22" s="801"/>
      <c r="K22" s="793"/>
    </row>
    <row r="23" spans="1:16" s="792" customFormat="1" ht="51" customHeight="1">
      <c r="A23" s="794"/>
      <c r="B23" s="795"/>
      <c r="C23" s="781" t="str">
        <f>[1]다.국도시세입!C20</f>
        <v>시도보조금(30%)</v>
      </c>
      <c r="D23" s="796">
        <v>717435756</v>
      </c>
      <c r="E23" s="796">
        <f>SUM(E24:E27)</f>
        <v>827081870.0309881</v>
      </c>
      <c r="F23" s="782">
        <f t="shared" ref="F23:F36" si="2">E23-D23</f>
        <v>109646114.0309881</v>
      </c>
      <c r="G23" s="863">
        <f t="shared" si="0"/>
        <v>15.283056791357929</v>
      </c>
      <c r="H23" s="1335" t="s">
        <v>1096</v>
      </c>
      <c r="I23" s="1320"/>
      <c r="J23" s="1321"/>
      <c r="K23" s="803"/>
      <c r="L23" s="803"/>
      <c r="M23" s="803"/>
      <c r="N23" s="803"/>
      <c r="O23" s="803"/>
      <c r="P23" s="803"/>
    </row>
    <row r="24" spans="1:16" s="792" customFormat="1" ht="17.25" hidden="1" customHeight="1">
      <c r="A24" s="794"/>
      <c r="B24" s="795"/>
      <c r="C24" s="797" t="s">
        <v>474</v>
      </c>
      <c r="D24" s="796">
        <v>646175964</v>
      </c>
      <c r="E24" s="796">
        <f>('라. 세출내역서'!H8-'다. 세입내역서'!E29-'다. 세입내역서'!E30)*30%-1</f>
        <v>753266210.0309881</v>
      </c>
      <c r="F24" s="782">
        <v>109048953</v>
      </c>
      <c r="G24" s="863">
        <f t="shared" si="0"/>
        <v>16.876046011516454</v>
      </c>
      <c r="H24" s="799"/>
      <c r="I24" s="800"/>
      <c r="J24" s="801"/>
      <c r="K24" s="793"/>
      <c r="L24" s="804"/>
      <c r="M24" s="803"/>
      <c r="N24" s="803"/>
      <c r="O24" s="803"/>
      <c r="P24" s="803"/>
    </row>
    <row r="25" spans="1:16" s="792" customFormat="1" ht="17.25" hidden="1" customHeight="1">
      <c r="A25" s="794"/>
      <c r="B25" s="795"/>
      <c r="C25" s="797" t="s">
        <v>475</v>
      </c>
      <c r="D25" s="796">
        <v>29901000</v>
      </c>
      <c r="E25" s="798">
        <f>국도비세출!Q7*30%</f>
        <v>30544500</v>
      </c>
      <c r="F25" s="782">
        <v>643500</v>
      </c>
      <c r="G25" s="863">
        <f t="shared" si="0"/>
        <v>2.1521019363900873</v>
      </c>
      <c r="H25" s="799"/>
      <c r="I25" s="800"/>
      <c r="J25" s="801"/>
      <c r="K25" s="803"/>
      <c r="L25" s="803"/>
      <c r="M25" s="803"/>
      <c r="N25" s="803"/>
      <c r="O25" s="803"/>
      <c r="P25" s="803"/>
    </row>
    <row r="26" spans="1:16" s="792" customFormat="1" ht="17.25" hidden="1" customHeight="1">
      <c r="A26" s="794"/>
      <c r="B26" s="795"/>
      <c r="C26" s="797" t="s">
        <v>476</v>
      </c>
      <c r="D26" s="796">
        <v>40308792</v>
      </c>
      <c r="E26" s="796">
        <f>'라. 세출내역서'!H599*30%</f>
        <v>42221760</v>
      </c>
      <c r="F26" s="782">
        <v>1912968</v>
      </c>
      <c r="G26" s="863">
        <f t="shared" si="0"/>
        <v>4.7457835005325881</v>
      </c>
      <c r="H26" s="799"/>
      <c r="I26" s="800"/>
      <c r="J26" s="801"/>
      <c r="K26" s="803"/>
      <c r="L26" s="803"/>
      <c r="M26" s="803"/>
      <c r="N26" s="803"/>
      <c r="O26" s="803"/>
      <c r="P26" s="803"/>
    </row>
    <row r="27" spans="1:16" s="792" customFormat="1" ht="17.25" hidden="1" customHeight="1">
      <c r="A27" s="794"/>
      <c r="B27" s="795"/>
      <c r="C27" s="797" t="s">
        <v>473</v>
      </c>
      <c r="D27" s="796">
        <v>1050000</v>
      </c>
      <c r="E27" s="798">
        <f>국도비세출!F53/2</f>
        <v>1049400</v>
      </c>
      <c r="F27" s="782">
        <v>-600</v>
      </c>
      <c r="G27" s="863">
        <f t="shared" si="0"/>
        <v>-5.7142857142857148E-2</v>
      </c>
      <c r="H27" s="799"/>
      <c r="I27" s="800"/>
      <c r="J27" s="801"/>
      <c r="K27" s="803"/>
      <c r="L27" s="803"/>
      <c r="M27" s="803"/>
      <c r="N27" s="803"/>
      <c r="O27" s="803"/>
      <c r="P27" s="803"/>
    </row>
    <row r="28" spans="1:16" s="792" customFormat="1" ht="76.5" customHeight="1">
      <c r="A28" s="794"/>
      <c r="B28" s="795"/>
      <c r="C28" s="781" t="s">
        <v>328</v>
      </c>
      <c r="D28" s="796">
        <v>194551300</v>
      </c>
      <c r="E28" s="796">
        <f>SUM(E29:E35)</f>
        <v>199311100</v>
      </c>
      <c r="F28" s="782">
        <f t="shared" si="2"/>
        <v>4759800</v>
      </c>
      <c r="G28" s="863">
        <f t="shared" si="0"/>
        <v>2.446552657319689</v>
      </c>
      <c r="H28" s="1335" t="s">
        <v>690</v>
      </c>
      <c r="I28" s="1320"/>
      <c r="J28" s="1321"/>
      <c r="K28" s="803"/>
      <c r="L28" s="803"/>
      <c r="M28" s="803"/>
      <c r="N28" s="803"/>
      <c r="O28" s="803"/>
      <c r="P28" s="803"/>
    </row>
    <row r="29" spans="1:16" s="792" customFormat="1" ht="17.25" customHeight="1">
      <c r="A29" s="794"/>
      <c r="B29" s="795"/>
      <c r="C29" s="797" t="s">
        <v>465</v>
      </c>
      <c r="D29" s="798">
        <f>시군구세출!E8+시군구세출!E10+시군구세출!E11+시군구세출!E12+시군구세출!E14+시군구세출!E15</f>
        <v>128735500</v>
      </c>
      <c r="E29" s="798">
        <f>'사. 임직원보수 일람표'!H136+'사. 임직원보수 일람표'!I136+'사. 임직원보수 일람표'!J136+'사. 임직원보수 일람표'!L136+'사. 임직원보수 일람표'!W136</f>
        <v>129454850</v>
      </c>
      <c r="F29" s="782">
        <f>E29-D29</f>
        <v>719350</v>
      </c>
      <c r="G29" s="863">
        <f t="shared" si="0"/>
        <v>0.5587813773201642</v>
      </c>
      <c r="H29" s="1336"/>
      <c r="I29" s="1320"/>
      <c r="J29" s="1321"/>
      <c r="K29" s="803"/>
      <c r="L29" s="803"/>
      <c r="M29" s="803"/>
      <c r="N29" s="803"/>
      <c r="O29" s="803"/>
      <c r="P29" s="803"/>
    </row>
    <row r="30" spans="1:16" s="792" customFormat="1" ht="17.25" customHeight="1">
      <c r="A30" s="794"/>
      <c r="B30" s="795"/>
      <c r="C30" s="797" t="s">
        <v>477</v>
      </c>
      <c r="D30" s="805">
        <v>26375800</v>
      </c>
      <c r="E30" s="798">
        <f>'사. 임직원보수 일람표'!M202</f>
        <v>28326250</v>
      </c>
      <c r="F30" s="782">
        <f t="shared" si="2"/>
        <v>1950450</v>
      </c>
      <c r="G30" s="863">
        <f t="shared" si="0"/>
        <v>7.3948467913769438</v>
      </c>
      <c r="H30" s="799"/>
      <c r="I30" s="800"/>
      <c r="J30" s="801"/>
      <c r="K30" s="803"/>
      <c r="L30" s="803"/>
      <c r="M30" s="803"/>
      <c r="N30" s="803"/>
      <c r="O30" s="803"/>
      <c r="P30" s="803"/>
    </row>
    <row r="31" spans="1:16" s="792" customFormat="1" ht="17.25" customHeight="1">
      <c r="A31" s="794"/>
      <c r="B31" s="795"/>
      <c r="C31" s="797" t="s">
        <v>468</v>
      </c>
      <c r="D31" s="798">
        <v>3600000</v>
      </c>
      <c r="E31" s="798">
        <v>3600000</v>
      </c>
      <c r="F31" s="798">
        <v>0</v>
      </c>
      <c r="G31" s="863">
        <f t="shared" si="0"/>
        <v>0</v>
      </c>
      <c r="H31" s="799"/>
      <c r="I31" s="800"/>
      <c r="J31" s="801"/>
      <c r="K31" s="803"/>
      <c r="L31" s="803"/>
      <c r="M31" s="803"/>
      <c r="N31" s="803"/>
      <c r="O31" s="803"/>
      <c r="P31" s="803"/>
    </row>
    <row r="32" spans="1:16" s="792" customFormat="1" ht="17.25" customHeight="1">
      <c r="A32" s="794"/>
      <c r="B32" s="795"/>
      <c r="C32" s="797" t="s">
        <v>137</v>
      </c>
      <c r="D32" s="798">
        <v>0</v>
      </c>
      <c r="E32" s="798">
        <v>0</v>
      </c>
      <c r="F32" s="798">
        <v>0</v>
      </c>
      <c r="G32" s="863">
        <v>0</v>
      </c>
      <c r="H32" s="799"/>
      <c r="I32" s="800"/>
      <c r="J32" s="801"/>
      <c r="K32" s="803"/>
      <c r="L32" s="803"/>
      <c r="M32" s="803"/>
      <c r="N32" s="803"/>
      <c r="O32" s="803"/>
      <c r="P32" s="803"/>
    </row>
    <row r="33" spans="1:16" s="792" customFormat="1" ht="17.25" customHeight="1">
      <c r="A33" s="794"/>
      <c r="B33" s="795"/>
      <c r="C33" s="797" t="s">
        <v>469</v>
      </c>
      <c r="D33" s="798">
        <v>3000000</v>
      </c>
      <c r="E33" s="798">
        <v>3000000</v>
      </c>
      <c r="F33" s="798">
        <v>0</v>
      </c>
      <c r="G33" s="863">
        <f t="shared" si="0"/>
        <v>0</v>
      </c>
      <c r="H33" s="799"/>
      <c r="I33" s="800"/>
      <c r="J33" s="801"/>
      <c r="K33" s="803"/>
      <c r="L33" s="803"/>
      <c r="M33" s="803"/>
      <c r="N33" s="803"/>
      <c r="O33" s="803"/>
      <c r="P33" s="803"/>
    </row>
    <row r="34" spans="1:16" s="792" customFormat="1" ht="17.25" customHeight="1">
      <c r="A34" s="794"/>
      <c r="B34" s="795"/>
      <c r="C34" s="797" t="s">
        <v>466</v>
      </c>
      <c r="D34" s="798">
        <v>32840000</v>
      </c>
      <c r="E34" s="798">
        <v>32840000</v>
      </c>
      <c r="F34" s="798">
        <v>0</v>
      </c>
      <c r="G34" s="863">
        <f t="shared" si="0"/>
        <v>0</v>
      </c>
      <c r="H34" s="799"/>
      <c r="I34" s="800"/>
      <c r="J34" s="801"/>
      <c r="K34" s="803"/>
      <c r="L34" s="803"/>
      <c r="M34" s="803"/>
      <c r="N34" s="803"/>
      <c r="O34" s="803"/>
      <c r="P34" s="803"/>
    </row>
    <row r="35" spans="1:16" s="792" customFormat="1" ht="17.25" customHeight="1">
      <c r="A35" s="794"/>
      <c r="B35" s="795"/>
      <c r="C35" s="797" t="s">
        <v>467</v>
      </c>
      <c r="D35" s="798"/>
      <c r="E35" s="798">
        <v>2090000</v>
      </c>
      <c r="F35" s="798">
        <v>2090000</v>
      </c>
      <c r="G35" s="863">
        <v>100</v>
      </c>
      <c r="H35" s="1336" t="s">
        <v>1098</v>
      </c>
      <c r="I35" s="1337"/>
      <c r="J35" s="1338"/>
      <c r="K35" s="803"/>
      <c r="L35" s="803"/>
      <c r="M35" s="803"/>
      <c r="N35" s="803"/>
      <c r="O35" s="803"/>
      <c r="P35" s="803"/>
    </row>
    <row r="36" spans="1:16" s="792" customFormat="1" ht="17.25" customHeight="1">
      <c r="A36" s="794"/>
      <c r="B36" s="795"/>
      <c r="C36" s="781" t="str">
        <f>'[1]다-1.도시(군)세입'!C22</f>
        <v>기타보조금</v>
      </c>
      <c r="D36" s="796">
        <v>6720000</v>
      </c>
      <c r="E36" s="796">
        <v>6720000</v>
      </c>
      <c r="F36" s="782">
        <f t="shared" si="2"/>
        <v>0</v>
      </c>
      <c r="G36" s="783">
        <f>F36/D36*100</f>
        <v>0</v>
      </c>
      <c r="H36" s="1336" t="s">
        <v>461</v>
      </c>
      <c r="I36" s="1320"/>
      <c r="J36" s="1321"/>
      <c r="K36" s="803"/>
      <c r="L36" s="803"/>
      <c r="M36" s="803"/>
      <c r="N36" s="803"/>
      <c r="O36" s="803"/>
      <c r="P36" s="803"/>
    </row>
    <row r="37" spans="1:16" s="776" customFormat="1" ht="17.25" customHeight="1">
      <c r="A37" s="785" t="s">
        <v>99</v>
      </c>
      <c r="B37" s="786" t="s">
        <v>92</v>
      </c>
      <c r="C37" s="806"/>
      <c r="D37" s="787">
        <f>D38</f>
        <v>364200000</v>
      </c>
      <c r="E37" s="787">
        <f>E38</f>
        <v>378460000</v>
      </c>
      <c r="F37" s="787">
        <f>E37-D37</f>
        <v>14260000</v>
      </c>
      <c r="G37" s="773">
        <f t="shared" si="0"/>
        <v>3.9154310818231743</v>
      </c>
      <c r="H37" s="1332"/>
      <c r="I37" s="1333"/>
      <c r="J37" s="1334"/>
      <c r="K37" s="793"/>
    </row>
    <row r="38" spans="1:16" s="776" customFormat="1" ht="17.25" customHeight="1">
      <c r="A38" s="777"/>
      <c r="B38" s="778" t="s">
        <v>100</v>
      </c>
      <c r="C38" s="778" t="s">
        <v>94</v>
      </c>
      <c r="D38" s="779">
        <f>SUM(D39:D40)</f>
        <v>364200000</v>
      </c>
      <c r="E38" s="779">
        <f>SUM(E39:E40)</f>
        <v>378460000</v>
      </c>
      <c r="F38" s="779">
        <f>E38-D38</f>
        <v>14260000</v>
      </c>
      <c r="G38" s="780">
        <f t="shared" si="0"/>
        <v>3.9154310818231743</v>
      </c>
      <c r="H38" s="1326"/>
      <c r="I38" s="1327"/>
      <c r="J38" s="1328"/>
      <c r="K38" s="793"/>
    </row>
    <row r="39" spans="1:16" s="776" customFormat="1" ht="51" customHeight="1">
      <c r="A39" s="807"/>
      <c r="B39" s="808"/>
      <c r="C39" s="795" t="s">
        <v>101</v>
      </c>
      <c r="D39" s="809">
        <v>14200000</v>
      </c>
      <c r="E39" s="809">
        <f>12400000+3280000+2820000+20000000</f>
        <v>38500000</v>
      </c>
      <c r="F39" s="782">
        <f t="shared" ref="F39:F40" si="3">E39-D39</f>
        <v>24300000</v>
      </c>
      <c r="G39" s="863">
        <f t="shared" si="0"/>
        <v>171.12676056338029</v>
      </c>
      <c r="H39" s="1319" t="s">
        <v>1106</v>
      </c>
      <c r="I39" s="1320"/>
      <c r="J39" s="1321"/>
      <c r="K39" s="793"/>
    </row>
    <row r="40" spans="1:16" s="776" customFormat="1" ht="17.25" customHeight="1">
      <c r="A40" s="829"/>
      <c r="B40" s="830"/>
      <c r="C40" s="830" t="s">
        <v>102</v>
      </c>
      <c r="D40" s="831">
        <v>350000000</v>
      </c>
      <c r="E40" s="831">
        <v>339960000</v>
      </c>
      <c r="F40" s="827">
        <f t="shared" si="3"/>
        <v>-10040000</v>
      </c>
      <c r="G40" s="832">
        <f t="shared" si="0"/>
        <v>-2.8685714285714288</v>
      </c>
      <c r="H40" s="1322" t="s">
        <v>458</v>
      </c>
      <c r="I40" s="1275"/>
      <c r="J40" s="1276"/>
      <c r="K40" s="793"/>
    </row>
    <row r="41" spans="1:16" s="776" customFormat="1" ht="17.25" customHeight="1">
      <c r="A41" s="770" t="s">
        <v>103</v>
      </c>
      <c r="B41" s="771" t="s">
        <v>92</v>
      </c>
      <c r="C41" s="771"/>
      <c r="D41" s="772">
        <f>D42</f>
        <v>40000000</v>
      </c>
      <c r="E41" s="772">
        <f>E42</f>
        <v>40000000</v>
      </c>
      <c r="F41" s="772">
        <f>E41-D41</f>
        <v>0</v>
      </c>
      <c r="G41" s="773">
        <f t="shared" si="0"/>
        <v>0</v>
      </c>
      <c r="H41" s="1323"/>
      <c r="I41" s="1324"/>
      <c r="J41" s="1325"/>
      <c r="K41" s="793"/>
    </row>
    <row r="42" spans="1:16" s="776" customFormat="1" ht="17.25" customHeight="1">
      <c r="A42" s="777"/>
      <c r="B42" s="778" t="s">
        <v>103</v>
      </c>
      <c r="C42" s="778" t="s">
        <v>94</v>
      </c>
      <c r="D42" s="779">
        <f>D43</f>
        <v>40000000</v>
      </c>
      <c r="E42" s="779">
        <f>E43</f>
        <v>40000000</v>
      </c>
      <c r="F42" s="779">
        <f>E42-D42</f>
        <v>0</v>
      </c>
      <c r="G42" s="780">
        <f t="shared" si="0"/>
        <v>0</v>
      </c>
      <c r="H42" s="1326"/>
      <c r="I42" s="1327"/>
      <c r="J42" s="1328"/>
      <c r="K42" s="793"/>
    </row>
    <row r="43" spans="1:16" s="776" customFormat="1" ht="17.25" customHeight="1">
      <c r="A43" s="777"/>
      <c r="B43" s="781"/>
      <c r="C43" s="781" t="s">
        <v>104</v>
      </c>
      <c r="D43" s="782">
        <v>40000000</v>
      </c>
      <c r="E43" s="782">
        <v>40000000</v>
      </c>
      <c r="F43" s="782">
        <f t="shared" ref="F43" si="4">E43-D43</f>
        <v>0</v>
      </c>
      <c r="G43" s="783">
        <f t="shared" si="0"/>
        <v>0</v>
      </c>
      <c r="H43" s="1265"/>
      <c r="I43" s="1266"/>
      <c r="J43" s="1267"/>
      <c r="K43" s="793"/>
    </row>
    <row r="44" spans="1:16" s="776" customFormat="1" ht="17.25" customHeight="1">
      <c r="A44" s="785" t="s">
        <v>105</v>
      </c>
      <c r="B44" s="786" t="s">
        <v>92</v>
      </c>
      <c r="C44" s="786"/>
      <c r="D44" s="787">
        <f>D45</f>
        <v>53487000</v>
      </c>
      <c r="E44" s="787">
        <f>E45</f>
        <v>53404680</v>
      </c>
      <c r="F44" s="787">
        <f>E44-D44</f>
        <v>-82320</v>
      </c>
      <c r="G44" s="810">
        <f t="shared" si="0"/>
        <v>-0.15390655673341186</v>
      </c>
      <c r="H44" s="811"/>
      <c r="I44" s="812"/>
      <c r="J44" s="813"/>
      <c r="K44" s="793"/>
    </row>
    <row r="45" spans="1:16" s="776" customFormat="1" ht="17.25" customHeight="1">
      <c r="A45" s="777"/>
      <c r="B45" s="778" t="s">
        <v>105</v>
      </c>
      <c r="C45" s="778" t="s">
        <v>94</v>
      </c>
      <c r="D45" s="779">
        <f>SUM(D46:D50)</f>
        <v>53487000</v>
      </c>
      <c r="E45" s="779">
        <f>SUM(E46:E50)</f>
        <v>53404680</v>
      </c>
      <c r="F45" s="779">
        <f>E45-D45</f>
        <v>-82320</v>
      </c>
      <c r="G45" s="780">
        <f t="shared" si="0"/>
        <v>-0.15390655673341186</v>
      </c>
      <c r="H45" s="814"/>
      <c r="I45" s="815"/>
      <c r="J45" s="816"/>
      <c r="K45" s="793"/>
    </row>
    <row r="46" spans="1:16" s="776" customFormat="1" ht="62.25" customHeight="1">
      <c r="A46" s="777"/>
      <c r="B46" s="781"/>
      <c r="C46" s="789" t="s">
        <v>1101</v>
      </c>
      <c r="D46" s="133">
        <f>25205000+6082000</f>
        <v>31287000</v>
      </c>
      <c r="E46" s="133">
        <f>'라. 세출내역서'!U668</f>
        <v>8513190</v>
      </c>
      <c r="F46" s="790">
        <f t="shared" ref="F46:F48" si="5">E46-D46</f>
        <v>-22773810</v>
      </c>
      <c r="G46" s="863">
        <f t="shared" si="0"/>
        <v>-72.790008629782335</v>
      </c>
      <c r="H46" s="1268" t="s">
        <v>1104</v>
      </c>
      <c r="I46" s="1286"/>
      <c r="J46" s="1287"/>
      <c r="K46" s="793"/>
    </row>
    <row r="47" spans="1:16" s="776" customFormat="1" ht="25.5" customHeight="1">
      <c r="A47" s="777"/>
      <c r="B47" s="781"/>
      <c r="C47" s="789" t="s">
        <v>1109</v>
      </c>
      <c r="D47" s="133">
        <v>500000</v>
      </c>
      <c r="E47" s="133">
        <v>3080563</v>
      </c>
      <c r="F47" s="790">
        <f t="shared" si="5"/>
        <v>2580563</v>
      </c>
      <c r="G47" s="863">
        <f t="shared" si="0"/>
        <v>516.11260000000004</v>
      </c>
      <c r="H47" s="1268" t="s">
        <v>1108</v>
      </c>
      <c r="I47" s="1269"/>
      <c r="J47" s="1270"/>
      <c r="K47" s="793"/>
    </row>
    <row r="48" spans="1:16" s="776" customFormat="1" ht="42" customHeight="1">
      <c r="A48" s="777"/>
      <c r="B48" s="781"/>
      <c r="C48" s="789" t="s">
        <v>1102</v>
      </c>
      <c r="D48" s="790">
        <f>6300000-500000</f>
        <v>5800000</v>
      </c>
      <c r="E48" s="1221">
        <f>9105019+2970859+7098481+160842+17358</f>
        <v>19352559</v>
      </c>
      <c r="F48" s="790">
        <f t="shared" si="5"/>
        <v>13552559</v>
      </c>
      <c r="G48" s="863">
        <f t="shared" si="0"/>
        <v>233.6648103448276</v>
      </c>
      <c r="H48" s="1268" t="s">
        <v>1110</v>
      </c>
      <c r="I48" s="1269"/>
      <c r="J48" s="1270"/>
      <c r="K48" s="793"/>
    </row>
    <row r="49" spans="1:11" s="776" customFormat="1" ht="28.5" customHeight="1">
      <c r="A49" s="777"/>
      <c r="B49" s="781"/>
      <c r="C49" s="781" t="s">
        <v>1103</v>
      </c>
      <c r="D49" s="133">
        <v>15900000</v>
      </c>
      <c r="E49" s="133">
        <v>22458368</v>
      </c>
      <c r="F49" s="790">
        <f t="shared" ref="F49:F50" si="6">E49-D49</f>
        <v>6558368</v>
      </c>
      <c r="G49" s="863">
        <f t="shared" si="0"/>
        <v>41.247597484276724</v>
      </c>
      <c r="H49" s="1268" t="s">
        <v>1105</v>
      </c>
      <c r="I49" s="1269"/>
      <c r="J49" s="1270"/>
      <c r="K49" s="793"/>
    </row>
    <row r="50" spans="1:11" s="776" customFormat="1" ht="17.25" customHeight="1">
      <c r="A50" s="794"/>
      <c r="B50" s="795"/>
      <c r="C50" s="795" t="s">
        <v>106</v>
      </c>
      <c r="D50" s="817">
        <v>0</v>
      </c>
      <c r="E50" s="818">
        <v>0</v>
      </c>
      <c r="F50" s="782">
        <f t="shared" si="6"/>
        <v>0</v>
      </c>
      <c r="G50" s="819">
        <v>0</v>
      </c>
      <c r="H50" s="1271"/>
      <c r="I50" s="1272"/>
      <c r="J50" s="1273"/>
      <c r="K50" s="793"/>
    </row>
    <row r="51" spans="1:11" s="776" customFormat="1" ht="17.25" customHeight="1">
      <c r="A51" s="820" t="s">
        <v>107</v>
      </c>
      <c r="B51" s="806" t="s">
        <v>92</v>
      </c>
      <c r="C51" s="806"/>
      <c r="D51" s="787">
        <f>D52</f>
        <v>47309180</v>
      </c>
      <c r="E51" s="787">
        <f>E52</f>
        <v>61313850</v>
      </c>
      <c r="F51" s="787">
        <f>E51-D51</f>
        <v>14004670</v>
      </c>
      <c r="G51" s="821">
        <f t="shared" si="0"/>
        <v>29.602436567279334</v>
      </c>
      <c r="H51" s="1283"/>
      <c r="I51" s="1284"/>
      <c r="J51" s="1285"/>
      <c r="K51" s="793"/>
    </row>
    <row r="52" spans="1:11" s="776" customFormat="1" ht="17.25" customHeight="1">
      <c r="A52" s="794"/>
      <c r="B52" s="822" t="s">
        <v>107</v>
      </c>
      <c r="C52" s="822" t="s">
        <v>94</v>
      </c>
      <c r="D52" s="779">
        <f>SUM(D53:D55)</f>
        <v>47309180</v>
      </c>
      <c r="E52" s="779">
        <f>SUM(E53:E55)</f>
        <v>61313850</v>
      </c>
      <c r="F52" s="779">
        <f>E52-D52</f>
        <v>14004670</v>
      </c>
      <c r="G52" s="823">
        <f t="shared" si="0"/>
        <v>29.602436567279334</v>
      </c>
      <c r="H52" s="1280"/>
      <c r="I52" s="1281"/>
      <c r="J52" s="1282"/>
      <c r="K52" s="793"/>
    </row>
    <row r="53" spans="1:11" s="776" customFormat="1" ht="17.25" customHeight="1">
      <c r="A53" s="794"/>
      <c r="B53" s="795"/>
      <c r="C53" s="795" t="s">
        <v>108</v>
      </c>
      <c r="D53" s="817">
        <v>500000</v>
      </c>
      <c r="E53" s="818">
        <v>500000</v>
      </c>
      <c r="F53" s="782">
        <f t="shared" ref="F53:F55" si="7">E53-D53</f>
        <v>0</v>
      </c>
      <c r="G53" s="783">
        <f t="shared" si="0"/>
        <v>0</v>
      </c>
      <c r="H53" s="1271"/>
      <c r="I53" s="1272"/>
      <c r="J53" s="1273"/>
      <c r="K53" s="793"/>
    </row>
    <row r="54" spans="1:11" s="776" customFormat="1" ht="21" customHeight="1">
      <c r="A54" s="794"/>
      <c r="B54" s="795"/>
      <c r="C54" s="795" t="s">
        <v>109</v>
      </c>
      <c r="D54" s="817">
        <v>1759180</v>
      </c>
      <c r="E54" s="818">
        <f>'라. 세출내역서'!H664+1148510</f>
        <v>1763850</v>
      </c>
      <c r="F54" s="782">
        <f t="shared" si="7"/>
        <v>4670</v>
      </c>
      <c r="G54" s="819">
        <f t="shared" si="0"/>
        <v>0.26546459145738355</v>
      </c>
      <c r="H54" s="1277"/>
      <c r="I54" s="1278"/>
      <c r="J54" s="1279"/>
      <c r="K54" s="793"/>
    </row>
    <row r="55" spans="1:11" s="776" customFormat="1" ht="45" customHeight="1">
      <c r="A55" s="824"/>
      <c r="B55" s="825"/>
      <c r="C55" s="825" t="s">
        <v>110</v>
      </c>
      <c r="D55" s="826">
        <v>45050000</v>
      </c>
      <c r="E55" s="826">
        <f>59050000</f>
        <v>59050000</v>
      </c>
      <c r="F55" s="827">
        <f t="shared" si="7"/>
        <v>14000000</v>
      </c>
      <c r="G55" s="828">
        <f t="shared" si="0"/>
        <v>31.076581576026634</v>
      </c>
      <c r="H55" s="1274" t="s">
        <v>459</v>
      </c>
      <c r="I55" s="1275"/>
      <c r="J55" s="1276"/>
      <c r="K55" s="793"/>
    </row>
  </sheetData>
  <mergeCells count="43">
    <mergeCell ref="H39:J39"/>
    <mergeCell ref="H40:J40"/>
    <mergeCell ref="H41:J41"/>
    <mergeCell ref="H42:J42"/>
    <mergeCell ref="H15:J15"/>
    <mergeCell ref="H16:J16"/>
    <mergeCell ref="H17:J17"/>
    <mergeCell ref="H18:J18"/>
    <mergeCell ref="H23:J23"/>
    <mergeCell ref="H36:J36"/>
    <mergeCell ref="H37:J37"/>
    <mergeCell ref="H38:J38"/>
    <mergeCell ref="H29:J29"/>
    <mergeCell ref="H28:J28"/>
    <mergeCell ref="H35:J35"/>
    <mergeCell ref="H7:J7"/>
    <mergeCell ref="G4:G5"/>
    <mergeCell ref="F4:F5"/>
    <mergeCell ref="H9:J9"/>
    <mergeCell ref="H10:J10"/>
    <mergeCell ref="A2:J2"/>
    <mergeCell ref="A6:C6"/>
    <mergeCell ref="E4:E5"/>
    <mergeCell ref="A4:C4"/>
    <mergeCell ref="D4:D5"/>
    <mergeCell ref="H4:J5"/>
    <mergeCell ref="H6:J6"/>
    <mergeCell ref="H11:J11"/>
    <mergeCell ref="H12:J12"/>
    <mergeCell ref="H13:J13"/>
    <mergeCell ref="H14:J14"/>
    <mergeCell ref="H8:J8"/>
    <mergeCell ref="H43:J43"/>
    <mergeCell ref="H49:J49"/>
    <mergeCell ref="H50:J50"/>
    <mergeCell ref="H55:J55"/>
    <mergeCell ref="H54:J54"/>
    <mergeCell ref="H53:J53"/>
    <mergeCell ref="H52:J52"/>
    <mergeCell ref="H51:J51"/>
    <mergeCell ref="H46:J46"/>
    <mergeCell ref="H48:J48"/>
    <mergeCell ref="H47:J47"/>
  </mergeCells>
  <phoneticPr fontId="4" type="noConversion"/>
  <printOptions horizontalCentered="1"/>
  <pageMargins left="0.39370078740157483" right="0.23622047244094491" top="0.25" bottom="0.19" header="0.13" footer="0.13"/>
  <pageSetup paperSize="9" scale="88" fitToHeight="0" orientation="landscape" horizontalDpi="4294967293" verticalDpi="4294967293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687"/>
  <sheetViews>
    <sheetView zoomScale="80" zoomScaleNormal="80" zoomScaleSheetLayoutView="85" workbookViewId="0">
      <pane xSplit="1" ySplit="7" topLeftCell="B496" activePane="bottomRight" state="frozen"/>
      <selection pane="topRight" activeCell="B1" sqref="B1"/>
      <selection pane="bottomLeft" activeCell="A8" sqref="A8"/>
      <selection pane="bottomRight" activeCell="AP546" sqref="AP546"/>
    </sheetView>
  </sheetViews>
  <sheetFormatPr defaultRowHeight="12.95" customHeight="1"/>
  <cols>
    <col min="1" max="1" width="10" style="575" customWidth="1"/>
    <col min="2" max="2" width="10.375" style="576" customWidth="1"/>
    <col min="3" max="3" width="15" style="576" customWidth="1"/>
    <col min="4" max="4" width="14.125" style="577" customWidth="1"/>
    <col min="5" max="5" width="14.25" style="134" customWidth="1"/>
    <col min="6" max="6" width="14.125" style="578" customWidth="1"/>
    <col min="7" max="7" width="8.5" style="579" customWidth="1"/>
    <col min="8" max="8" width="16.5" style="579" customWidth="1"/>
    <col min="9" max="9" width="10.875" style="579" customWidth="1"/>
    <col min="10" max="10" width="10.75" style="579" customWidth="1"/>
    <col min="11" max="11" width="12" style="579" customWidth="1"/>
    <col min="12" max="12" width="11.875" style="1146" customWidth="1"/>
    <col min="13" max="13" width="8.875" style="580" customWidth="1"/>
    <col min="14" max="14" width="9.375" style="580" customWidth="1"/>
    <col min="15" max="15" width="13.5" style="581" customWidth="1"/>
    <col min="16" max="16" width="4.25" style="581" customWidth="1"/>
    <col min="17" max="18" width="4.375" style="581" customWidth="1"/>
    <col min="19" max="19" width="6.25" style="581" customWidth="1"/>
    <col min="20" max="20" width="4.375" style="581" customWidth="1"/>
    <col min="21" max="21" width="18.625" style="1077" customWidth="1"/>
    <col min="22" max="22" width="14.375" style="582" hidden="1" customWidth="1"/>
    <col min="23" max="24" width="17.875" style="582" hidden="1" customWidth="1"/>
    <col min="25" max="26" width="17.875" style="583" hidden="1" customWidth="1"/>
    <col min="27" max="27" width="14.25" style="583" hidden="1" customWidth="1"/>
    <col min="28" max="28" width="13.125" style="583" hidden="1" customWidth="1"/>
    <col min="29" max="29" width="14.25" style="583" hidden="1" customWidth="1"/>
    <col min="30" max="30" width="13" style="583" hidden="1" customWidth="1"/>
    <col min="31" max="31" width="13.25" style="583" hidden="1" customWidth="1"/>
    <col min="32" max="32" width="11.125" style="583" hidden="1" customWidth="1"/>
    <col min="33" max="36" width="9" style="583" customWidth="1"/>
    <col min="37" max="16384" width="9" style="583"/>
  </cols>
  <sheetData>
    <row r="1" spans="1:30" ht="12" customHeight="1"/>
    <row r="2" spans="1:30" ht="19.5" customHeight="1">
      <c r="A2" s="1358" t="s">
        <v>61</v>
      </c>
      <c r="B2" s="1358"/>
      <c r="C2" s="1358"/>
      <c r="D2" s="1358"/>
      <c r="E2" s="1358"/>
      <c r="F2" s="1358"/>
      <c r="G2" s="1358"/>
      <c r="H2" s="1358"/>
      <c r="I2" s="1358"/>
      <c r="J2" s="1358"/>
      <c r="K2" s="1358"/>
      <c r="L2" s="1358"/>
      <c r="M2" s="1358"/>
      <c r="N2" s="1358"/>
      <c r="O2" s="1358"/>
      <c r="P2" s="1358"/>
      <c r="Q2" s="1358"/>
      <c r="R2" s="1358"/>
      <c r="S2" s="1358"/>
      <c r="T2" s="1358"/>
      <c r="U2" s="1358"/>
    </row>
    <row r="3" spans="1:30" ht="15.75" customHeight="1">
      <c r="A3" s="584"/>
      <c r="B3" s="585"/>
      <c r="C3" s="585"/>
      <c r="D3" s="586"/>
      <c r="E3" s="584"/>
      <c r="F3" s="587"/>
      <c r="G3" s="588"/>
      <c r="H3" s="588"/>
      <c r="I3" s="588"/>
      <c r="J3" s="588"/>
      <c r="K3" s="588"/>
      <c r="L3" s="1147"/>
      <c r="M3" s="589"/>
      <c r="N3" s="589"/>
      <c r="O3" s="590"/>
      <c r="P3" s="591"/>
      <c r="Q3" s="591"/>
      <c r="R3" s="591"/>
      <c r="S3" s="591"/>
      <c r="T3" s="591"/>
      <c r="U3" s="1078" t="s">
        <v>10</v>
      </c>
    </row>
    <row r="4" spans="1:30" ht="18.75" customHeight="1">
      <c r="A4" s="1359" t="s">
        <v>0</v>
      </c>
      <c r="B4" s="1360"/>
      <c r="C4" s="1360"/>
      <c r="D4" s="1242" t="s">
        <v>388</v>
      </c>
      <c r="E4" s="1242" t="s">
        <v>387</v>
      </c>
      <c r="F4" s="1361" t="s">
        <v>58</v>
      </c>
      <c r="G4" s="1363" t="s">
        <v>57</v>
      </c>
      <c r="H4" s="1370" t="s">
        <v>86</v>
      </c>
      <c r="I4" s="1371"/>
      <c r="J4" s="1371"/>
      <c r="K4" s="1372"/>
      <c r="L4" s="1365" t="s">
        <v>7</v>
      </c>
      <c r="M4" s="1365"/>
      <c r="N4" s="1365"/>
      <c r="O4" s="1366"/>
      <c r="P4" s="1366"/>
      <c r="Q4" s="1366"/>
      <c r="R4" s="1366"/>
      <c r="S4" s="1366"/>
      <c r="T4" s="1366"/>
      <c r="U4" s="1367"/>
      <c r="Z4" s="583" t="s">
        <v>877</v>
      </c>
      <c r="AA4" s="582">
        <v>234516878</v>
      </c>
      <c r="AB4" s="582">
        <v>22433122</v>
      </c>
      <c r="AC4" s="1061">
        <v>256950000</v>
      </c>
      <c r="AD4" s="1011">
        <f>AC4-I6-J6</f>
        <v>-0.125</v>
      </c>
    </row>
    <row r="5" spans="1:30" ht="18.75" customHeight="1" thickBot="1">
      <c r="A5" s="592" t="s">
        <v>1</v>
      </c>
      <c r="B5" s="593" t="s">
        <v>2</v>
      </c>
      <c r="C5" s="593" t="s">
        <v>3</v>
      </c>
      <c r="D5" s="1243"/>
      <c r="E5" s="1243"/>
      <c r="F5" s="1362"/>
      <c r="G5" s="1364"/>
      <c r="H5" s="1030" t="s">
        <v>88</v>
      </c>
      <c r="I5" s="595" t="s">
        <v>89</v>
      </c>
      <c r="J5" s="594" t="s">
        <v>90</v>
      </c>
      <c r="K5" s="1031" t="s">
        <v>99</v>
      </c>
      <c r="L5" s="1368"/>
      <c r="M5" s="1368"/>
      <c r="N5" s="1368"/>
      <c r="O5" s="1368"/>
      <c r="P5" s="1368"/>
      <c r="Q5" s="1368"/>
      <c r="R5" s="1368"/>
      <c r="S5" s="1368"/>
      <c r="T5" s="1368"/>
      <c r="U5" s="1369"/>
      <c r="Z5" s="583" t="s">
        <v>872</v>
      </c>
      <c r="AA5" s="582">
        <v>134400000</v>
      </c>
      <c r="AB5" s="582">
        <v>9105019</v>
      </c>
      <c r="AC5" s="582">
        <v>143505019</v>
      </c>
      <c r="AD5" s="582">
        <v>0</v>
      </c>
    </row>
    <row r="6" spans="1:30" ht="18.75" customHeight="1" thickTop="1" thickBot="1">
      <c r="A6" s="1356" t="s">
        <v>4</v>
      </c>
      <c r="B6" s="1357"/>
      <c r="C6" s="1357"/>
      <c r="D6" s="596">
        <f>SUM(D7,D561,D597,D656,D662,D666)</f>
        <v>3230720000</v>
      </c>
      <c r="E6" s="596">
        <f>SUM(H6:K6)</f>
        <v>3629150000.3532939</v>
      </c>
      <c r="F6" s="596">
        <f>E6-D6</f>
        <v>398430000.3532939</v>
      </c>
      <c r="G6" s="1029">
        <f>F6/D6*100</f>
        <v>12.332545078288861</v>
      </c>
      <c r="H6" s="1032">
        <f>SUM(H7,H561,H597,H656,H662,H666)</f>
        <v>2970700000.1032939</v>
      </c>
      <c r="I6" s="596">
        <f>SUM(I7,I561,I597,I656,I662,I666)</f>
        <v>43080563.125</v>
      </c>
      <c r="J6" s="596">
        <f>SUM(J7,J561,J597,J656,J662,J666)</f>
        <v>213869437</v>
      </c>
      <c r="K6" s="1033">
        <f>SUM(K7,K561,K597,K656,K662,K666)</f>
        <v>401500000.125</v>
      </c>
      <c r="L6" s="1152" t="s">
        <v>970</v>
      </c>
      <c r="M6" s="1123"/>
      <c r="N6" s="1123"/>
      <c r="O6" s="1120"/>
      <c r="P6" s="1120"/>
      <c r="Q6" s="1120"/>
      <c r="R6" s="1120"/>
      <c r="S6" s="1120"/>
      <c r="T6" s="1120"/>
      <c r="U6" s="1134">
        <f>U7+U561+U597+U656+U662+U666</f>
        <v>3629150000.3532939</v>
      </c>
      <c r="V6" s="1042">
        <f>E6-'다. 세입내역서'!E6</f>
        <v>0.32230567932128906</v>
      </c>
      <c r="Z6" s="583" t="s">
        <v>873</v>
      </c>
      <c r="AA6" s="582">
        <v>40000000</v>
      </c>
      <c r="AB6" s="582">
        <v>3080563</v>
      </c>
      <c r="AC6" s="582">
        <v>43080563</v>
      </c>
      <c r="AD6" s="582">
        <f>AC6-I6</f>
        <v>-0.125</v>
      </c>
    </row>
    <row r="7" spans="1:30" ht="26.25" customHeight="1" thickTop="1">
      <c r="A7" s="879" t="s">
        <v>111</v>
      </c>
      <c r="B7" s="597" t="s">
        <v>92</v>
      </c>
      <c r="C7" s="597"/>
      <c r="D7" s="598">
        <f>SUM(D8,D514,D519)</f>
        <v>2628751180</v>
      </c>
      <c r="E7" s="598">
        <f>SUM(E8,E514,E519)</f>
        <v>2981036365.3532939</v>
      </c>
      <c r="F7" s="599">
        <f>E7-D7</f>
        <v>352285185.3532939</v>
      </c>
      <c r="G7" s="650">
        <f>F7/D7*100</f>
        <v>13.401237364477147</v>
      </c>
      <c r="H7" s="877">
        <f>H8+H514+H519</f>
        <v>2731126470.1032939</v>
      </c>
      <c r="I7" s="599">
        <f>I8+I514+I519</f>
        <v>36080563.125</v>
      </c>
      <c r="J7" s="599">
        <f>J8+J514+J519</f>
        <v>62869437</v>
      </c>
      <c r="K7" s="1034">
        <f>K8+K514+K519</f>
        <v>150959895.125</v>
      </c>
      <c r="L7" s="1153" t="s">
        <v>969</v>
      </c>
      <c r="M7" s="1114"/>
      <c r="N7" s="1114"/>
      <c r="O7" s="1063"/>
      <c r="P7" s="1063"/>
      <c r="Q7" s="1063"/>
      <c r="R7" s="1063"/>
      <c r="S7" s="1063"/>
      <c r="T7" s="1063"/>
      <c r="U7" s="1133">
        <f>U8+U514+U519</f>
        <v>2981036365.3532939</v>
      </c>
      <c r="W7" s="652">
        <f>(68580000)+(31750000)+1485000</f>
        <v>101815000</v>
      </c>
      <c r="X7" s="653">
        <f>68580000+31115000+1485000</f>
        <v>101180000</v>
      </c>
      <c r="Y7" s="654">
        <f>W7-X7</f>
        <v>635000</v>
      </c>
      <c r="Z7" s="583" t="s">
        <v>874</v>
      </c>
      <c r="AA7" s="582">
        <v>25550000</v>
      </c>
      <c r="AB7" s="582">
        <v>7098481</v>
      </c>
      <c r="AC7" s="582">
        <v>32648481</v>
      </c>
      <c r="AD7" s="582">
        <v>0</v>
      </c>
    </row>
    <row r="8" spans="1:30" ht="21.75" customHeight="1">
      <c r="A8" s="600"/>
      <c r="B8" s="601" t="s">
        <v>112</v>
      </c>
      <c r="C8" s="601" t="s">
        <v>94</v>
      </c>
      <c r="D8" s="602">
        <f>SUM(D9:D502)</f>
        <v>2393247270</v>
      </c>
      <c r="E8" s="602">
        <f>SUM(E9:E502)</f>
        <v>2741079200.3532939</v>
      </c>
      <c r="F8" s="603">
        <f>E8-D8</f>
        <v>347831930.3532939</v>
      </c>
      <c r="G8" s="649">
        <f>F8/D8*100</f>
        <v>14.533890196531758</v>
      </c>
      <c r="H8" s="641">
        <f>SUM(H9:H502)</f>
        <v>2668668470.1032939</v>
      </c>
      <c r="I8" s="604">
        <f>SUM(I9:I502)</f>
        <v>32259920.125</v>
      </c>
      <c r="J8" s="604">
        <f>SUM(J9:J502)</f>
        <v>2000000</v>
      </c>
      <c r="K8" s="1035">
        <f>SUM(K9:K502)</f>
        <v>38150810.125</v>
      </c>
      <c r="L8" s="1154" t="s">
        <v>968</v>
      </c>
      <c r="M8" s="1112"/>
      <c r="N8" s="1112"/>
      <c r="O8" s="1113"/>
      <c r="P8" s="1113"/>
      <c r="Q8" s="1113"/>
      <c r="R8" s="1113"/>
      <c r="S8" s="1113"/>
      <c r="T8" s="1113"/>
      <c r="U8" s="1132">
        <f>U9+U133+U135+U482+U486+U502</f>
        <v>2741079200.3532939</v>
      </c>
      <c r="W8" s="582">
        <f>SUM(H519,H561,H605,H616)</f>
        <v>101815000</v>
      </c>
      <c r="Z8" s="583" t="s">
        <v>875</v>
      </c>
      <c r="AA8" s="582">
        <v>34000000</v>
      </c>
      <c r="AB8" s="582">
        <v>2970859</v>
      </c>
      <c r="AC8" s="582">
        <v>36970859</v>
      </c>
      <c r="AD8" s="582">
        <v>0</v>
      </c>
    </row>
    <row r="9" spans="1:30" ht="21.75" customHeight="1">
      <c r="A9" s="605"/>
      <c r="B9" s="606"/>
      <c r="C9" s="1012" t="s">
        <v>113</v>
      </c>
      <c r="D9" s="1013">
        <v>1479465000</v>
      </c>
      <c r="E9" s="1014">
        <f>SUM(H9:K9)</f>
        <v>1687166000</v>
      </c>
      <c r="F9" s="1014">
        <f>E9-D9</f>
        <v>207701000</v>
      </c>
      <c r="G9" s="1015">
        <f>F9/D9*100</f>
        <v>14.038926233469532</v>
      </c>
      <c r="H9" s="1016">
        <f>'사. 임직원보수 일람표'!H123+'사. 임직원보수 일람표'!H136+'사. 임직원보수 일람표'!H169</f>
        <v>1684166000</v>
      </c>
      <c r="I9" s="1017"/>
      <c r="J9" s="1017">
        <v>0</v>
      </c>
      <c r="K9" s="1036">
        <f>'사. 임직원보수 일람표'!G199</f>
        <v>3000000</v>
      </c>
      <c r="L9" s="1339" t="s">
        <v>953</v>
      </c>
      <c r="M9" s="1340"/>
      <c r="N9" s="1340"/>
      <c r="O9" s="1083"/>
      <c r="P9" s="1084"/>
      <c r="Q9" s="1085"/>
      <c r="R9" s="1084"/>
      <c r="S9" s="1086"/>
      <c r="T9" s="1087"/>
      <c r="U9" s="1131">
        <f>SUM(U10:U132)</f>
        <v>1687166000</v>
      </c>
      <c r="V9" s="582">
        <f>'사. 임직원보수 일람표'!H202</f>
        <v>1687166000</v>
      </c>
      <c r="W9" s="582">
        <f>W7-W8</f>
        <v>0</v>
      </c>
      <c r="Z9" s="1011" t="s">
        <v>876</v>
      </c>
      <c r="AA9" s="582">
        <v>566878</v>
      </c>
      <c r="AB9" s="582">
        <v>178200</v>
      </c>
      <c r="AC9" s="582">
        <v>745078</v>
      </c>
      <c r="AD9" s="582">
        <v>0</v>
      </c>
    </row>
    <row r="10" spans="1:30" ht="21.75" hidden="1" customHeight="1">
      <c r="A10" s="605"/>
      <c r="B10" s="606"/>
      <c r="C10" s="606"/>
      <c r="D10" s="607"/>
      <c r="E10" s="608"/>
      <c r="F10" s="609"/>
      <c r="G10" s="647"/>
      <c r="H10" s="642"/>
      <c r="I10" s="131"/>
      <c r="J10" s="131"/>
      <c r="K10" s="1037"/>
      <c r="L10" s="1088" t="s">
        <v>754</v>
      </c>
      <c r="M10" s="1064" t="s">
        <v>754</v>
      </c>
      <c r="N10" s="1064" t="s">
        <v>745</v>
      </c>
      <c r="O10" s="1074">
        <f>'사. 임직원보수 일람표'!G5</f>
        <v>3701000</v>
      </c>
      <c r="P10" s="1069" t="s">
        <v>744</v>
      </c>
      <c r="Q10" s="1089">
        <v>1</v>
      </c>
      <c r="R10" s="1069" t="s">
        <v>744</v>
      </c>
      <c r="S10" s="1070">
        <f>'사. 임직원보수 일람표'!E5</f>
        <v>5</v>
      </c>
      <c r="T10" s="1071" t="s">
        <v>410</v>
      </c>
      <c r="U10" s="1090">
        <f t="shared" ref="U10:U41" si="0">O10*Q10*S10</f>
        <v>18505000</v>
      </c>
    </row>
    <row r="11" spans="1:30" ht="21.75" hidden="1" customHeight="1">
      <c r="A11" s="605"/>
      <c r="B11" s="606"/>
      <c r="C11" s="606"/>
      <c r="D11" s="607"/>
      <c r="E11" s="608"/>
      <c r="F11" s="609"/>
      <c r="G11" s="647"/>
      <c r="H11" s="642"/>
      <c r="I11" s="131"/>
      <c r="J11" s="131"/>
      <c r="K11" s="1037"/>
      <c r="L11" s="1088" t="s">
        <v>754</v>
      </c>
      <c r="M11" s="1064" t="s">
        <v>754</v>
      </c>
      <c r="N11" s="1064" t="s">
        <v>745</v>
      </c>
      <c r="O11" s="1009">
        <f>'사. 임직원보수 일람표'!G6</f>
        <v>3785000</v>
      </c>
      <c r="P11" s="1069" t="s">
        <v>744</v>
      </c>
      <c r="Q11" s="1089">
        <v>1</v>
      </c>
      <c r="R11" s="1069" t="s">
        <v>744</v>
      </c>
      <c r="S11" s="1070">
        <f>'사. 임직원보수 일람표'!E6</f>
        <v>7</v>
      </c>
      <c r="T11" s="1071" t="s">
        <v>410</v>
      </c>
      <c r="U11" s="1090">
        <f t="shared" si="0"/>
        <v>26495000</v>
      </c>
    </row>
    <row r="12" spans="1:30" ht="21.75" hidden="1" customHeight="1">
      <c r="A12" s="605"/>
      <c r="B12" s="606"/>
      <c r="C12" s="606"/>
      <c r="D12" s="607"/>
      <c r="E12" s="608"/>
      <c r="F12" s="609"/>
      <c r="G12" s="647"/>
      <c r="H12" s="642"/>
      <c r="I12" s="131"/>
      <c r="J12" s="131"/>
      <c r="K12" s="1037"/>
      <c r="L12" s="1088" t="s">
        <v>746</v>
      </c>
      <c r="M12" s="1064" t="s">
        <v>746</v>
      </c>
      <c r="N12" s="1064" t="s">
        <v>751</v>
      </c>
      <c r="O12" s="1009">
        <f>'사. 임직원보수 일람표'!G7</f>
        <v>3763000</v>
      </c>
      <c r="P12" s="1069" t="s">
        <v>744</v>
      </c>
      <c r="Q12" s="1089">
        <v>1</v>
      </c>
      <c r="R12" s="1069" t="s">
        <v>744</v>
      </c>
      <c r="S12" s="1070">
        <f>'사. 임직원보수 일람표'!E7</f>
        <v>4</v>
      </c>
      <c r="T12" s="1071" t="s">
        <v>410</v>
      </c>
      <c r="U12" s="1090">
        <f t="shared" si="0"/>
        <v>15052000</v>
      </c>
    </row>
    <row r="13" spans="1:30" ht="21.75" hidden="1" customHeight="1">
      <c r="A13" s="605"/>
      <c r="B13" s="606"/>
      <c r="C13" s="606"/>
      <c r="D13" s="607"/>
      <c r="E13" s="608"/>
      <c r="F13" s="609"/>
      <c r="G13" s="647"/>
      <c r="H13" s="642"/>
      <c r="I13" s="131"/>
      <c r="J13" s="131"/>
      <c r="K13" s="1037"/>
      <c r="L13" s="1088" t="s">
        <v>746</v>
      </c>
      <c r="M13" s="1064" t="s">
        <v>746</v>
      </c>
      <c r="N13" s="1064" t="s">
        <v>751</v>
      </c>
      <c r="O13" s="1009">
        <f>'사. 임직원보수 일람표'!G8</f>
        <v>3825000</v>
      </c>
      <c r="P13" s="1069" t="s">
        <v>744</v>
      </c>
      <c r="Q13" s="1089">
        <v>1</v>
      </c>
      <c r="R13" s="1069" t="s">
        <v>744</v>
      </c>
      <c r="S13" s="1070">
        <f>'사. 임직원보수 일람표'!E8</f>
        <v>8</v>
      </c>
      <c r="T13" s="1071" t="s">
        <v>410</v>
      </c>
      <c r="U13" s="1090">
        <f t="shared" si="0"/>
        <v>30600000</v>
      </c>
    </row>
    <row r="14" spans="1:30" ht="21.75" hidden="1" customHeight="1">
      <c r="A14" s="605"/>
      <c r="B14" s="606"/>
      <c r="C14" s="606"/>
      <c r="D14" s="607"/>
      <c r="E14" s="608"/>
      <c r="F14" s="609"/>
      <c r="G14" s="647"/>
      <c r="H14" s="642"/>
      <c r="I14" s="131"/>
      <c r="J14" s="131"/>
      <c r="K14" s="1037"/>
      <c r="L14" s="1088" t="s">
        <v>749</v>
      </c>
      <c r="M14" s="1064" t="s">
        <v>747</v>
      </c>
      <c r="N14" s="1064" t="s">
        <v>752</v>
      </c>
      <c r="O14" s="1009">
        <f>'사. 임직원보수 일람표'!G9</f>
        <v>3244000</v>
      </c>
      <c r="P14" s="1069" t="s">
        <v>744</v>
      </c>
      <c r="Q14" s="1089">
        <v>1</v>
      </c>
      <c r="R14" s="1069" t="s">
        <v>744</v>
      </c>
      <c r="S14" s="1070">
        <f>'사. 임직원보수 일람표'!E9</f>
        <v>6</v>
      </c>
      <c r="T14" s="1071" t="s">
        <v>410</v>
      </c>
      <c r="U14" s="1090">
        <f t="shared" si="0"/>
        <v>19464000</v>
      </c>
    </row>
    <row r="15" spans="1:30" ht="21.75" hidden="1" customHeight="1">
      <c r="A15" s="605"/>
      <c r="B15" s="606"/>
      <c r="C15" s="606"/>
      <c r="D15" s="607"/>
      <c r="E15" s="608"/>
      <c r="F15" s="609"/>
      <c r="G15" s="647"/>
      <c r="H15" s="642"/>
      <c r="I15" s="131"/>
      <c r="J15" s="131"/>
      <c r="K15" s="1037"/>
      <c r="L15" s="1088" t="s">
        <v>749</v>
      </c>
      <c r="M15" s="1064" t="s">
        <v>747</v>
      </c>
      <c r="N15" s="1064" t="s">
        <v>752</v>
      </c>
      <c r="O15" s="1009">
        <f>'사. 임직원보수 일람표'!G10</f>
        <v>3306000</v>
      </c>
      <c r="P15" s="1069" t="s">
        <v>744</v>
      </c>
      <c r="Q15" s="1089">
        <v>1</v>
      </c>
      <c r="R15" s="1069" t="s">
        <v>744</v>
      </c>
      <c r="S15" s="1070">
        <f>'사. 임직원보수 일람표'!E10</f>
        <v>6</v>
      </c>
      <c r="T15" s="1071" t="s">
        <v>410</v>
      </c>
      <c r="U15" s="1090">
        <f t="shared" si="0"/>
        <v>19836000</v>
      </c>
    </row>
    <row r="16" spans="1:30" ht="21.75" hidden="1" customHeight="1">
      <c r="A16" s="605"/>
      <c r="B16" s="606"/>
      <c r="C16" s="606"/>
      <c r="D16" s="607"/>
      <c r="E16" s="608"/>
      <c r="F16" s="609"/>
      <c r="G16" s="647"/>
      <c r="H16" s="642"/>
      <c r="I16" s="131"/>
      <c r="J16" s="131"/>
      <c r="K16" s="1037"/>
      <c r="L16" s="1088" t="s">
        <v>750</v>
      </c>
      <c r="M16" s="1064" t="s">
        <v>748</v>
      </c>
      <c r="N16" s="1064" t="s">
        <v>753</v>
      </c>
      <c r="O16" s="1009">
        <f>'사. 임직원보수 일람표'!G11</f>
        <v>3679000</v>
      </c>
      <c r="P16" s="1069" t="s">
        <v>744</v>
      </c>
      <c r="Q16" s="1089">
        <v>1</v>
      </c>
      <c r="R16" s="1069" t="s">
        <v>744</v>
      </c>
      <c r="S16" s="1070">
        <f>'사. 임직원보수 일람표'!E11</f>
        <v>3</v>
      </c>
      <c r="T16" s="1071" t="s">
        <v>410</v>
      </c>
      <c r="U16" s="1090">
        <f t="shared" si="0"/>
        <v>11037000</v>
      </c>
    </row>
    <row r="17" spans="1:21" ht="21.75" hidden="1" customHeight="1">
      <c r="A17" s="605"/>
      <c r="B17" s="606"/>
      <c r="C17" s="606"/>
      <c r="D17" s="607"/>
      <c r="E17" s="608"/>
      <c r="F17" s="609"/>
      <c r="G17" s="647"/>
      <c r="H17" s="642"/>
      <c r="I17" s="131"/>
      <c r="J17" s="131"/>
      <c r="K17" s="1037"/>
      <c r="L17" s="1088" t="s">
        <v>750</v>
      </c>
      <c r="M17" s="1064" t="s">
        <v>748</v>
      </c>
      <c r="N17" s="1064" t="s">
        <v>753</v>
      </c>
      <c r="O17" s="1009">
        <f>'사. 임직원보수 일람표'!G12</f>
        <v>3724000</v>
      </c>
      <c r="P17" s="1069" t="s">
        <v>744</v>
      </c>
      <c r="Q17" s="1089">
        <v>1</v>
      </c>
      <c r="R17" s="1069" t="s">
        <v>744</v>
      </c>
      <c r="S17" s="1070">
        <f>'사. 임직원보수 일람표'!E12</f>
        <v>9</v>
      </c>
      <c r="T17" s="1071" t="s">
        <v>410</v>
      </c>
      <c r="U17" s="1090">
        <f t="shared" si="0"/>
        <v>33516000</v>
      </c>
    </row>
    <row r="18" spans="1:21" ht="21.75" hidden="1" customHeight="1">
      <c r="A18" s="605"/>
      <c r="B18" s="606"/>
      <c r="C18" s="606"/>
      <c r="D18" s="607"/>
      <c r="E18" s="608"/>
      <c r="F18" s="609"/>
      <c r="G18" s="647"/>
      <c r="H18" s="642"/>
      <c r="I18" s="131"/>
      <c r="J18" s="131"/>
      <c r="K18" s="1037"/>
      <c r="L18" s="1088" t="s">
        <v>755</v>
      </c>
      <c r="M18" s="1064" t="s">
        <v>748</v>
      </c>
      <c r="N18" s="1064" t="s">
        <v>756</v>
      </c>
      <c r="O18" s="1009">
        <f>'사. 임직원보수 일람표'!G13</f>
        <v>2732000</v>
      </c>
      <c r="P18" s="1069" t="s">
        <v>744</v>
      </c>
      <c r="Q18" s="1089">
        <v>1</v>
      </c>
      <c r="R18" s="1069" t="s">
        <v>744</v>
      </c>
      <c r="S18" s="1070">
        <f>'사. 임직원보수 일람표'!E13</f>
        <v>11</v>
      </c>
      <c r="T18" s="1071" t="s">
        <v>410</v>
      </c>
      <c r="U18" s="1090">
        <f t="shared" si="0"/>
        <v>30052000</v>
      </c>
    </row>
    <row r="19" spans="1:21" ht="21.75" hidden="1" customHeight="1">
      <c r="A19" s="605"/>
      <c r="B19" s="606"/>
      <c r="C19" s="606"/>
      <c r="D19" s="607"/>
      <c r="E19" s="608"/>
      <c r="F19" s="609"/>
      <c r="G19" s="647"/>
      <c r="H19" s="642"/>
      <c r="I19" s="131"/>
      <c r="J19" s="131"/>
      <c r="K19" s="1037"/>
      <c r="L19" s="1088" t="s">
        <v>755</v>
      </c>
      <c r="M19" s="1064" t="s">
        <v>748</v>
      </c>
      <c r="N19" s="1064" t="s">
        <v>756</v>
      </c>
      <c r="O19" s="1009">
        <f>'사. 임직원보수 일람표'!G14</f>
        <v>2804000</v>
      </c>
      <c r="P19" s="1069" t="s">
        <v>744</v>
      </c>
      <c r="Q19" s="1089">
        <v>1</v>
      </c>
      <c r="R19" s="1069" t="s">
        <v>744</v>
      </c>
      <c r="S19" s="1070">
        <f>'사. 임직원보수 일람표'!E14</f>
        <v>1</v>
      </c>
      <c r="T19" s="1071" t="s">
        <v>410</v>
      </c>
      <c r="U19" s="1090">
        <f t="shared" si="0"/>
        <v>2804000</v>
      </c>
    </row>
    <row r="20" spans="1:21" ht="21.75" hidden="1" customHeight="1">
      <c r="A20" s="605"/>
      <c r="B20" s="606"/>
      <c r="C20" s="606"/>
      <c r="D20" s="607"/>
      <c r="E20" s="608"/>
      <c r="F20" s="609"/>
      <c r="G20" s="647"/>
      <c r="H20" s="642"/>
      <c r="I20" s="131"/>
      <c r="J20" s="131"/>
      <c r="K20" s="1037"/>
      <c r="L20" s="1088" t="s">
        <v>757</v>
      </c>
      <c r="M20" s="1064" t="s">
        <v>748</v>
      </c>
      <c r="N20" s="1064" t="s">
        <v>758</v>
      </c>
      <c r="O20" s="1009">
        <f>'사. 임직원보수 일람표'!G15</f>
        <v>3679000</v>
      </c>
      <c r="P20" s="1069" t="s">
        <v>744</v>
      </c>
      <c r="Q20" s="1089">
        <v>1</v>
      </c>
      <c r="R20" s="1069" t="s">
        <v>744</v>
      </c>
      <c r="S20" s="1070">
        <f>'사. 임직원보수 일람표'!E15</f>
        <v>7</v>
      </c>
      <c r="T20" s="1071" t="s">
        <v>410</v>
      </c>
      <c r="U20" s="1090">
        <f t="shared" si="0"/>
        <v>25753000</v>
      </c>
    </row>
    <row r="21" spans="1:21" ht="21.75" hidden="1" customHeight="1">
      <c r="A21" s="605"/>
      <c r="B21" s="606"/>
      <c r="C21" s="606"/>
      <c r="D21" s="607"/>
      <c r="E21" s="608"/>
      <c r="F21" s="609"/>
      <c r="G21" s="647"/>
      <c r="H21" s="642"/>
      <c r="I21" s="131"/>
      <c r="J21" s="131"/>
      <c r="K21" s="1037"/>
      <c r="L21" s="1088" t="s">
        <v>757</v>
      </c>
      <c r="M21" s="1064"/>
      <c r="N21" s="1064" t="s">
        <v>759</v>
      </c>
      <c r="O21" s="1009">
        <f>'사. 임직원보수 일람표'!G17</f>
        <v>2358000</v>
      </c>
      <c r="P21" s="1069" t="s">
        <v>744</v>
      </c>
      <c r="Q21" s="1089">
        <v>1</v>
      </c>
      <c r="R21" s="1069" t="s">
        <v>744</v>
      </c>
      <c r="S21" s="1070">
        <f>'사. 임직원보수 일람표'!E17</f>
        <v>3</v>
      </c>
      <c r="T21" s="1071" t="s">
        <v>410</v>
      </c>
      <c r="U21" s="1090">
        <f t="shared" si="0"/>
        <v>7074000</v>
      </c>
    </row>
    <row r="22" spans="1:21" ht="21.75" hidden="1" customHeight="1">
      <c r="A22" s="605"/>
      <c r="B22" s="606"/>
      <c r="C22" s="606"/>
      <c r="D22" s="607"/>
      <c r="E22" s="608"/>
      <c r="F22" s="609"/>
      <c r="G22" s="647"/>
      <c r="H22" s="642"/>
      <c r="I22" s="131"/>
      <c r="J22" s="131"/>
      <c r="K22" s="1037"/>
      <c r="L22" s="1088" t="s">
        <v>193</v>
      </c>
      <c r="M22" s="1064"/>
      <c r="N22" s="1064" t="s">
        <v>263</v>
      </c>
      <c r="O22" s="1009">
        <f>'사. 임직원보수 일람표'!G18</f>
        <v>2464000</v>
      </c>
      <c r="P22" s="1069" t="s">
        <v>744</v>
      </c>
      <c r="Q22" s="1089">
        <v>1</v>
      </c>
      <c r="R22" s="1069" t="s">
        <v>744</v>
      </c>
      <c r="S22" s="1070">
        <f>'사. 임직원보수 일람표'!E18</f>
        <v>1</v>
      </c>
      <c r="T22" s="1071" t="s">
        <v>410</v>
      </c>
      <c r="U22" s="1090">
        <f t="shared" si="0"/>
        <v>2464000</v>
      </c>
    </row>
    <row r="23" spans="1:21" ht="21.75" hidden="1" customHeight="1">
      <c r="A23" s="605"/>
      <c r="B23" s="606"/>
      <c r="C23" s="606"/>
      <c r="D23" s="607"/>
      <c r="E23" s="608"/>
      <c r="F23" s="609"/>
      <c r="G23" s="647"/>
      <c r="H23" s="642"/>
      <c r="I23" s="131"/>
      <c r="J23" s="131"/>
      <c r="K23" s="1037"/>
      <c r="L23" s="1088" t="s">
        <v>760</v>
      </c>
      <c r="M23" s="1064"/>
      <c r="N23" s="1064" t="s">
        <v>761</v>
      </c>
      <c r="O23" s="1009">
        <f>'사. 임직원보수 일람표'!G19</f>
        <v>2880000</v>
      </c>
      <c r="P23" s="1069" t="s">
        <v>744</v>
      </c>
      <c r="Q23" s="1089">
        <v>1</v>
      </c>
      <c r="R23" s="1069" t="s">
        <v>744</v>
      </c>
      <c r="S23" s="1070">
        <f>'사. 임직원보수 일람표'!E19</f>
        <v>3</v>
      </c>
      <c r="T23" s="1071" t="s">
        <v>410</v>
      </c>
      <c r="U23" s="1090">
        <f t="shared" si="0"/>
        <v>8640000</v>
      </c>
    </row>
    <row r="24" spans="1:21" ht="21.75" hidden="1" customHeight="1">
      <c r="A24" s="605"/>
      <c r="B24" s="606"/>
      <c r="C24" s="606"/>
      <c r="D24" s="607"/>
      <c r="E24" s="608"/>
      <c r="F24" s="609"/>
      <c r="G24" s="647"/>
      <c r="H24" s="642"/>
      <c r="I24" s="131"/>
      <c r="J24" s="131"/>
      <c r="K24" s="1037"/>
      <c r="L24" s="1088" t="s">
        <v>760</v>
      </c>
      <c r="M24" s="1064"/>
      <c r="N24" s="1064" t="s">
        <v>761</v>
      </c>
      <c r="O24" s="1009">
        <f>'사. 임직원보수 일람표'!G20</f>
        <v>2962000</v>
      </c>
      <c r="P24" s="1069" t="s">
        <v>744</v>
      </c>
      <c r="Q24" s="1089">
        <v>1</v>
      </c>
      <c r="R24" s="1069" t="s">
        <v>744</v>
      </c>
      <c r="S24" s="1070">
        <f>'사. 임직원보수 일람표'!E20</f>
        <v>9</v>
      </c>
      <c r="T24" s="1071" t="s">
        <v>410</v>
      </c>
      <c r="U24" s="1090">
        <f t="shared" si="0"/>
        <v>26658000</v>
      </c>
    </row>
    <row r="25" spans="1:21" ht="21.75" hidden="1" customHeight="1">
      <c r="A25" s="605"/>
      <c r="B25" s="606"/>
      <c r="C25" s="606"/>
      <c r="D25" s="607"/>
      <c r="E25" s="608"/>
      <c r="F25" s="609"/>
      <c r="G25" s="647"/>
      <c r="H25" s="642"/>
      <c r="I25" s="131"/>
      <c r="J25" s="131"/>
      <c r="K25" s="1037"/>
      <c r="L25" s="1088" t="s">
        <v>762</v>
      </c>
      <c r="M25" s="1064"/>
      <c r="N25" s="1064" t="s">
        <v>763</v>
      </c>
      <c r="O25" s="1009">
        <f>'사. 임직원보수 일람표'!G21</f>
        <v>2182000</v>
      </c>
      <c r="P25" s="1069" t="s">
        <v>744</v>
      </c>
      <c r="Q25" s="1089">
        <v>1</v>
      </c>
      <c r="R25" s="1069" t="s">
        <v>744</v>
      </c>
      <c r="S25" s="1070">
        <f>'사. 임직원보수 일람표'!E21</f>
        <v>2</v>
      </c>
      <c r="T25" s="1071" t="s">
        <v>410</v>
      </c>
      <c r="U25" s="1090">
        <f t="shared" si="0"/>
        <v>4364000</v>
      </c>
    </row>
    <row r="26" spans="1:21" ht="21.75" hidden="1" customHeight="1">
      <c r="A26" s="605"/>
      <c r="B26" s="606"/>
      <c r="C26" s="606"/>
      <c r="D26" s="607"/>
      <c r="E26" s="608"/>
      <c r="F26" s="609"/>
      <c r="G26" s="647"/>
      <c r="H26" s="642"/>
      <c r="I26" s="131"/>
      <c r="J26" s="131"/>
      <c r="K26" s="1037"/>
      <c r="L26" s="1088" t="s">
        <v>762</v>
      </c>
      <c r="M26" s="1064"/>
      <c r="N26" s="1064" t="s">
        <v>764</v>
      </c>
      <c r="O26" s="1009">
        <f>'사. 임직원보수 일람표'!G23</f>
        <v>2358000</v>
      </c>
      <c r="P26" s="1069" t="s">
        <v>744</v>
      </c>
      <c r="Q26" s="1089">
        <v>1</v>
      </c>
      <c r="R26" s="1069" t="s">
        <v>744</v>
      </c>
      <c r="S26" s="1070">
        <f>'사. 임직원보수 일람표'!E20</f>
        <v>9</v>
      </c>
      <c r="T26" s="1071" t="s">
        <v>410</v>
      </c>
      <c r="U26" s="1090">
        <f t="shared" si="0"/>
        <v>21222000</v>
      </c>
    </row>
    <row r="27" spans="1:21" ht="21.75" hidden="1" customHeight="1">
      <c r="A27" s="605"/>
      <c r="B27" s="606"/>
      <c r="C27" s="606"/>
      <c r="D27" s="607"/>
      <c r="E27" s="608"/>
      <c r="F27" s="609"/>
      <c r="G27" s="647"/>
      <c r="H27" s="642"/>
      <c r="I27" s="131"/>
      <c r="J27" s="131"/>
      <c r="K27" s="1037"/>
      <c r="L27" s="1088" t="s">
        <v>766</v>
      </c>
      <c r="M27" s="1064"/>
      <c r="N27" s="1064" t="s">
        <v>765</v>
      </c>
      <c r="O27" s="1009">
        <f>'사. 임직원보수 일람표'!G25</f>
        <v>2962000</v>
      </c>
      <c r="P27" s="1069" t="s">
        <v>744</v>
      </c>
      <c r="Q27" s="1089">
        <v>1</v>
      </c>
      <c r="R27" s="1069" t="s">
        <v>744</v>
      </c>
      <c r="S27" s="1070">
        <f>'사. 임직원보수 일람표'!E25</f>
        <v>7</v>
      </c>
      <c r="T27" s="1071" t="s">
        <v>410</v>
      </c>
      <c r="U27" s="1090">
        <f t="shared" si="0"/>
        <v>20734000</v>
      </c>
    </row>
    <row r="28" spans="1:21" ht="21.75" hidden="1" customHeight="1">
      <c r="A28" s="605"/>
      <c r="B28" s="606"/>
      <c r="C28" s="606"/>
      <c r="D28" s="607"/>
      <c r="E28" s="608"/>
      <c r="F28" s="609"/>
      <c r="G28" s="647"/>
      <c r="H28" s="642"/>
      <c r="I28" s="131"/>
      <c r="J28" s="131"/>
      <c r="K28" s="1037"/>
      <c r="L28" s="1088" t="s">
        <v>766</v>
      </c>
      <c r="M28" s="1064"/>
      <c r="N28" s="1064" t="s">
        <v>765</v>
      </c>
      <c r="O28" s="1009">
        <f>'사. 임직원보수 일람표'!G26</f>
        <v>3037000</v>
      </c>
      <c r="P28" s="1069" t="s">
        <v>744</v>
      </c>
      <c r="Q28" s="1089">
        <v>1</v>
      </c>
      <c r="R28" s="1069" t="s">
        <v>744</v>
      </c>
      <c r="S28" s="1070">
        <f>'사. 임직원보수 일람표'!E26</f>
        <v>5</v>
      </c>
      <c r="T28" s="1071" t="s">
        <v>410</v>
      </c>
      <c r="U28" s="1090">
        <f t="shared" si="0"/>
        <v>15185000</v>
      </c>
    </row>
    <row r="29" spans="1:21" ht="21.75" hidden="1" customHeight="1">
      <c r="A29" s="605"/>
      <c r="B29" s="606"/>
      <c r="C29" s="606"/>
      <c r="D29" s="607"/>
      <c r="E29" s="608"/>
      <c r="F29" s="609"/>
      <c r="G29" s="647"/>
      <c r="H29" s="642"/>
      <c r="I29" s="131"/>
      <c r="J29" s="131"/>
      <c r="K29" s="1037"/>
      <c r="L29" s="1088" t="s">
        <v>767</v>
      </c>
      <c r="M29" s="1064" t="s">
        <v>747</v>
      </c>
      <c r="N29" s="1064" t="s">
        <v>768</v>
      </c>
      <c r="O29" s="1009">
        <f>'사. 임직원보수 일람표'!G27</f>
        <v>3179000</v>
      </c>
      <c r="P29" s="1069" t="s">
        <v>744</v>
      </c>
      <c r="Q29" s="1089">
        <v>1</v>
      </c>
      <c r="R29" s="1069" t="s">
        <v>744</v>
      </c>
      <c r="S29" s="1070">
        <f>'사. 임직원보수 일람표'!E27</f>
        <v>9</v>
      </c>
      <c r="T29" s="1071" t="s">
        <v>410</v>
      </c>
      <c r="U29" s="1090">
        <f t="shared" si="0"/>
        <v>28611000</v>
      </c>
    </row>
    <row r="30" spans="1:21" ht="21.75" hidden="1" customHeight="1">
      <c r="A30" s="605"/>
      <c r="B30" s="606"/>
      <c r="C30" s="606"/>
      <c r="D30" s="607"/>
      <c r="E30" s="608"/>
      <c r="F30" s="609"/>
      <c r="G30" s="647"/>
      <c r="H30" s="642"/>
      <c r="I30" s="131"/>
      <c r="J30" s="131"/>
      <c r="K30" s="1037"/>
      <c r="L30" s="1088" t="s">
        <v>767</v>
      </c>
      <c r="M30" s="1064" t="s">
        <v>747</v>
      </c>
      <c r="N30" s="1064" t="s">
        <v>768</v>
      </c>
      <c r="O30" s="1009">
        <f>'사. 임직원보수 일람표'!G28</f>
        <v>3244000</v>
      </c>
      <c r="P30" s="1069" t="s">
        <v>744</v>
      </c>
      <c r="Q30" s="1089">
        <v>1</v>
      </c>
      <c r="R30" s="1069" t="s">
        <v>744</v>
      </c>
      <c r="S30" s="1070">
        <f>'사. 임직원보수 일람표'!E28</f>
        <v>3</v>
      </c>
      <c r="T30" s="1071" t="s">
        <v>410</v>
      </c>
      <c r="U30" s="1090">
        <f t="shared" si="0"/>
        <v>9732000</v>
      </c>
    </row>
    <row r="31" spans="1:21" ht="21.75" hidden="1" customHeight="1">
      <c r="A31" s="605"/>
      <c r="B31" s="606"/>
      <c r="C31" s="606"/>
      <c r="D31" s="607"/>
      <c r="E31" s="608"/>
      <c r="F31" s="609"/>
      <c r="G31" s="647"/>
      <c r="H31" s="642"/>
      <c r="I31" s="131"/>
      <c r="J31" s="131"/>
      <c r="K31" s="1037"/>
      <c r="L31" s="1088" t="s">
        <v>755</v>
      </c>
      <c r="M31" s="1064" t="s">
        <v>748</v>
      </c>
      <c r="N31" s="1064" t="s">
        <v>769</v>
      </c>
      <c r="O31" s="1009">
        <f>'사. 임직원보수 일람표'!G29</f>
        <v>2660000</v>
      </c>
      <c r="P31" s="1069" t="s">
        <v>744</v>
      </c>
      <c r="Q31" s="1089">
        <v>1</v>
      </c>
      <c r="R31" s="1069" t="s">
        <v>744</v>
      </c>
      <c r="S31" s="1070">
        <f>'사. 임직원보수 일람표'!E25</f>
        <v>7</v>
      </c>
      <c r="T31" s="1071" t="s">
        <v>410</v>
      </c>
      <c r="U31" s="1090">
        <f t="shared" si="0"/>
        <v>18620000</v>
      </c>
    </row>
    <row r="32" spans="1:21" ht="21.75" hidden="1" customHeight="1">
      <c r="A32" s="605"/>
      <c r="B32" s="606"/>
      <c r="C32" s="606"/>
      <c r="D32" s="607"/>
      <c r="E32" s="608"/>
      <c r="F32" s="609"/>
      <c r="G32" s="647"/>
      <c r="H32" s="642"/>
      <c r="I32" s="131"/>
      <c r="J32" s="131"/>
      <c r="K32" s="1037"/>
      <c r="L32" s="1088" t="s">
        <v>755</v>
      </c>
      <c r="M32" s="1064" t="s">
        <v>748</v>
      </c>
      <c r="N32" s="1064" t="s">
        <v>769</v>
      </c>
      <c r="O32" s="1009">
        <f>'사. 임직원보수 일람표'!G30</f>
        <v>2732000</v>
      </c>
      <c r="P32" s="1069" t="s">
        <v>744</v>
      </c>
      <c r="Q32" s="1089">
        <v>1</v>
      </c>
      <c r="R32" s="1069" t="s">
        <v>744</v>
      </c>
      <c r="S32" s="1070">
        <f>'사. 임직원보수 일람표'!E26</f>
        <v>5</v>
      </c>
      <c r="T32" s="1071" t="s">
        <v>410</v>
      </c>
      <c r="U32" s="1090">
        <f t="shared" si="0"/>
        <v>13660000</v>
      </c>
    </row>
    <row r="33" spans="1:21" ht="21.75" hidden="1" customHeight="1">
      <c r="A33" s="605"/>
      <c r="B33" s="606"/>
      <c r="C33" s="606"/>
      <c r="D33" s="607"/>
      <c r="E33" s="608"/>
      <c r="F33" s="609"/>
      <c r="G33" s="647"/>
      <c r="H33" s="642"/>
      <c r="I33" s="131"/>
      <c r="J33" s="131"/>
      <c r="K33" s="1037"/>
      <c r="L33" s="1088" t="s">
        <v>770</v>
      </c>
      <c r="M33" s="1064"/>
      <c r="N33" s="1064" t="s">
        <v>771</v>
      </c>
      <c r="O33" s="1009">
        <f>'사. 임직원보수 일람표'!G31</f>
        <v>2558000</v>
      </c>
      <c r="P33" s="1069" t="s">
        <v>744</v>
      </c>
      <c r="Q33" s="1089">
        <v>1</v>
      </c>
      <c r="R33" s="1069" t="s">
        <v>744</v>
      </c>
      <c r="S33" s="1070">
        <f>'사. 임직원보수 일람표'!E31</f>
        <v>3</v>
      </c>
      <c r="T33" s="1071" t="s">
        <v>410</v>
      </c>
      <c r="U33" s="1090">
        <f t="shared" si="0"/>
        <v>7674000</v>
      </c>
    </row>
    <row r="34" spans="1:21" ht="21.75" hidden="1" customHeight="1">
      <c r="A34" s="605"/>
      <c r="B34" s="606"/>
      <c r="C34" s="606"/>
      <c r="D34" s="607"/>
      <c r="E34" s="608"/>
      <c r="F34" s="609"/>
      <c r="G34" s="647"/>
      <c r="H34" s="642"/>
      <c r="I34" s="131"/>
      <c r="J34" s="131"/>
      <c r="K34" s="1037"/>
      <c r="L34" s="1088" t="s">
        <v>770</v>
      </c>
      <c r="M34" s="1064"/>
      <c r="N34" s="1064" t="s">
        <v>771</v>
      </c>
      <c r="O34" s="1009">
        <f>'사. 임직원보수 일람표'!G32</f>
        <v>2624000</v>
      </c>
      <c r="P34" s="1069" t="s">
        <v>744</v>
      </c>
      <c r="Q34" s="1089">
        <v>1</v>
      </c>
      <c r="R34" s="1069" t="s">
        <v>744</v>
      </c>
      <c r="S34" s="1070">
        <f>'사. 임직원보수 일람표'!E32</f>
        <v>9</v>
      </c>
      <c r="T34" s="1071" t="s">
        <v>410</v>
      </c>
      <c r="U34" s="1090">
        <f t="shared" si="0"/>
        <v>23616000</v>
      </c>
    </row>
    <row r="35" spans="1:21" ht="21.75" hidden="1" customHeight="1">
      <c r="A35" s="605"/>
      <c r="B35" s="606"/>
      <c r="C35" s="606"/>
      <c r="D35" s="607"/>
      <c r="E35" s="608"/>
      <c r="F35" s="609"/>
      <c r="G35" s="647"/>
      <c r="H35" s="642"/>
      <c r="I35" s="131"/>
      <c r="J35" s="131"/>
      <c r="K35" s="1037"/>
      <c r="L35" s="1088" t="s">
        <v>772</v>
      </c>
      <c r="M35" s="1064" t="s">
        <v>748</v>
      </c>
      <c r="N35" s="1064" t="s">
        <v>773</v>
      </c>
      <c r="O35" s="1009">
        <f>'사. 임직원보수 일람표'!G33</f>
        <v>2493000</v>
      </c>
      <c r="P35" s="1069" t="s">
        <v>744</v>
      </c>
      <c r="Q35" s="1089">
        <v>1</v>
      </c>
      <c r="R35" s="1069" t="s">
        <v>744</v>
      </c>
      <c r="S35" s="1070">
        <f>'사. 임직원보수 일람표'!E33</f>
        <v>1</v>
      </c>
      <c r="T35" s="1071" t="s">
        <v>410</v>
      </c>
      <c r="U35" s="1090">
        <f t="shared" si="0"/>
        <v>2493000</v>
      </c>
    </row>
    <row r="36" spans="1:21" ht="21.75" hidden="1" customHeight="1">
      <c r="A36" s="605"/>
      <c r="B36" s="606"/>
      <c r="C36" s="606"/>
      <c r="D36" s="607"/>
      <c r="E36" s="608"/>
      <c r="F36" s="609"/>
      <c r="G36" s="647"/>
      <c r="H36" s="642"/>
      <c r="I36" s="131"/>
      <c r="J36" s="131"/>
      <c r="K36" s="1037"/>
      <c r="L36" s="1088" t="s">
        <v>772</v>
      </c>
      <c r="M36" s="1064" t="s">
        <v>748</v>
      </c>
      <c r="N36" s="1064" t="s">
        <v>773</v>
      </c>
      <c r="O36" s="1009">
        <f>'사. 임직원보수 일람표'!G34</f>
        <v>2558000</v>
      </c>
      <c r="P36" s="1069" t="s">
        <v>744</v>
      </c>
      <c r="Q36" s="1089">
        <v>1</v>
      </c>
      <c r="R36" s="1069" t="s">
        <v>744</v>
      </c>
      <c r="S36" s="1070">
        <f>'사. 임직원보수 일람표'!E34</f>
        <v>11</v>
      </c>
      <c r="T36" s="1071" t="s">
        <v>410</v>
      </c>
      <c r="U36" s="1090">
        <f t="shared" si="0"/>
        <v>28138000</v>
      </c>
    </row>
    <row r="37" spans="1:21" ht="21.75" hidden="1" customHeight="1">
      <c r="A37" s="605"/>
      <c r="B37" s="606"/>
      <c r="C37" s="606"/>
      <c r="D37" s="607"/>
      <c r="E37" s="608"/>
      <c r="F37" s="609"/>
      <c r="G37" s="647"/>
      <c r="H37" s="642"/>
      <c r="I37" s="131"/>
      <c r="J37" s="131"/>
      <c r="K37" s="1037"/>
      <c r="L37" s="1088" t="s">
        <v>772</v>
      </c>
      <c r="M37" s="1064"/>
      <c r="N37" s="1064" t="s">
        <v>774</v>
      </c>
      <c r="O37" s="1009">
        <f>'사. 임직원보수 일람표'!G35</f>
        <v>2684000</v>
      </c>
      <c r="P37" s="1069" t="s">
        <v>744</v>
      </c>
      <c r="Q37" s="1089">
        <v>1</v>
      </c>
      <c r="R37" s="1069" t="s">
        <v>744</v>
      </c>
      <c r="S37" s="1070">
        <f>'사. 임직원보수 일람표'!E35</f>
        <v>5</v>
      </c>
      <c r="T37" s="1071" t="s">
        <v>410</v>
      </c>
      <c r="U37" s="1090">
        <f t="shared" si="0"/>
        <v>13420000</v>
      </c>
    </row>
    <row r="38" spans="1:21" ht="21.75" hidden="1" customHeight="1">
      <c r="A38" s="605"/>
      <c r="B38" s="606"/>
      <c r="C38" s="606"/>
      <c r="D38" s="607"/>
      <c r="E38" s="608"/>
      <c r="F38" s="609"/>
      <c r="G38" s="647"/>
      <c r="H38" s="642"/>
      <c r="I38" s="131"/>
      <c r="J38" s="131"/>
      <c r="K38" s="1037"/>
      <c r="L38" s="1088" t="s">
        <v>772</v>
      </c>
      <c r="M38" s="1064"/>
      <c r="N38" s="1064" t="s">
        <v>774</v>
      </c>
      <c r="O38" s="1009">
        <f>'사. 임직원보수 일람표'!G36</f>
        <v>2742000</v>
      </c>
      <c r="P38" s="1069" t="s">
        <v>744</v>
      </c>
      <c r="Q38" s="1089">
        <v>1</v>
      </c>
      <c r="R38" s="1069" t="s">
        <v>744</v>
      </c>
      <c r="S38" s="1070">
        <f>'사. 임직원보수 일람표'!E36</f>
        <v>7</v>
      </c>
      <c r="T38" s="1071" t="s">
        <v>410</v>
      </c>
      <c r="U38" s="1090">
        <f t="shared" si="0"/>
        <v>19194000</v>
      </c>
    </row>
    <row r="39" spans="1:21" ht="21.75" hidden="1" customHeight="1">
      <c r="A39" s="605"/>
      <c r="B39" s="606"/>
      <c r="C39" s="606"/>
      <c r="D39" s="607"/>
      <c r="E39" s="608"/>
      <c r="F39" s="609"/>
      <c r="G39" s="647"/>
      <c r="H39" s="642"/>
      <c r="I39" s="131"/>
      <c r="J39" s="131"/>
      <c r="K39" s="1037"/>
      <c r="L39" s="1088" t="s">
        <v>772</v>
      </c>
      <c r="M39" s="1064"/>
      <c r="N39" s="1064" t="s">
        <v>775</v>
      </c>
      <c r="O39" s="1009">
        <f>'사. 임직원보수 일람표'!G37</f>
        <v>2365000</v>
      </c>
      <c r="P39" s="1069" t="s">
        <v>744</v>
      </c>
      <c r="Q39" s="1089">
        <v>1</v>
      </c>
      <c r="R39" s="1069" t="s">
        <v>744</v>
      </c>
      <c r="S39" s="1070">
        <f>'사. 임직원보수 일람표'!E37</f>
        <v>4</v>
      </c>
      <c r="T39" s="1071" t="s">
        <v>410</v>
      </c>
      <c r="U39" s="1090">
        <f t="shared" si="0"/>
        <v>9460000</v>
      </c>
    </row>
    <row r="40" spans="1:21" ht="21.75" hidden="1" customHeight="1">
      <c r="A40" s="605"/>
      <c r="B40" s="606"/>
      <c r="C40" s="606"/>
      <c r="D40" s="607"/>
      <c r="E40" s="608"/>
      <c r="F40" s="609"/>
      <c r="G40" s="647"/>
      <c r="H40" s="642"/>
      <c r="I40" s="131"/>
      <c r="J40" s="131"/>
      <c r="K40" s="1037"/>
      <c r="L40" s="1088" t="s">
        <v>772</v>
      </c>
      <c r="M40" s="1064"/>
      <c r="N40" s="1064" t="s">
        <v>775</v>
      </c>
      <c r="O40" s="1009">
        <f>'사. 임직원보수 일람표'!G38</f>
        <v>2428000</v>
      </c>
      <c r="P40" s="1069" t="s">
        <v>744</v>
      </c>
      <c r="Q40" s="1089">
        <v>1</v>
      </c>
      <c r="R40" s="1069" t="s">
        <v>744</v>
      </c>
      <c r="S40" s="1070">
        <f>'사. 임직원보수 일람표'!E38</f>
        <v>8</v>
      </c>
      <c r="T40" s="1071" t="s">
        <v>410</v>
      </c>
      <c r="U40" s="1090">
        <f t="shared" si="0"/>
        <v>19424000</v>
      </c>
    </row>
    <row r="41" spans="1:21" ht="21.75" hidden="1" customHeight="1">
      <c r="A41" s="605"/>
      <c r="B41" s="606"/>
      <c r="C41" s="606"/>
      <c r="D41" s="607"/>
      <c r="E41" s="608"/>
      <c r="F41" s="609"/>
      <c r="G41" s="647"/>
      <c r="H41" s="642"/>
      <c r="I41" s="131"/>
      <c r="J41" s="131"/>
      <c r="K41" s="1037"/>
      <c r="L41" s="1088" t="s">
        <v>772</v>
      </c>
      <c r="M41" s="1064"/>
      <c r="N41" s="1064" t="s">
        <v>776</v>
      </c>
      <c r="O41" s="1009">
        <f>'사. 임직원보수 일람표'!G39</f>
        <v>2558000</v>
      </c>
      <c r="P41" s="1069" t="s">
        <v>744</v>
      </c>
      <c r="Q41" s="1089">
        <v>1</v>
      </c>
      <c r="R41" s="1069" t="s">
        <v>744</v>
      </c>
      <c r="S41" s="1070">
        <f>'사. 임직원보수 일람표'!E39</f>
        <v>11</v>
      </c>
      <c r="T41" s="1071" t="s">
        <v>410</v>
      </c>
      <c r="U41" s="1090">
        <f t="shared" si="0"/>
        <v>28138000</v>
      </c>
    </row>
    <row r="42" spans="1:21" ht="21.75" hidden="1" customHeight="1">
      <c r="A42" s="605"/>
      <c r="B42" s="606"/>
      <c r="C42" s="606"/>
      <c r="D42" s="607"/>
      <c r="E42" s="608"/>
      <c r="F42" s="609"/>
      <c r="G42" s="647"/>
      <c r="H42" s="642"/>
      <c r="I42" s="131"/>
      <c r="J42" s="131"/>
      <c r="K42" s="1037"/>
      <c r="L42" s="1088" t="s">
        <v>772</v>
      </c>
      <c r="M42" s="1064"/>
      <c r="N42" s="1064" t="s">
        <v>776</v>
      </c>
      <c r="O42" s="1009">
        <f>'사. 임직원보수 일람표'!G40</f>
        <v>2624000</v>
      </c>
      <c r="P42" s="1069" t="s">
        <v>744</v>
      </c>
      <c r="Q42" s="1089">
        <v>1</v>
      </c>
      <c r="R42" s="1069" t="s">
        <v>744</v>
      </c>
      <c r="S42" s="1070">
        <f>'사. 임직원보수 일람표'!E40</f>
        <v>1</v>
      </c>
      <c r="T42" s="1071" t="s">
        <v>410</v>
      </c>
      <c r="U42" s="1090">
        <f t="shared" ref="U42:U73" si="1">O42*Q42*S42</f>
        <v>2624000</v>
      </c>
    </row>
    <row r="43" spans="1:21" ht="21.75" hidden="1" customHeight="1">
      <c r="A43" s="605"/>
      <c r="B43" s="606"/>
      <c r="C43" s="606"/>
      <c r="D43" s="607"/>
      <c r="E43" s="608"/>
      <c r="F43" s="609"/>
      <c r="G43" s="647"/>
      <c r="H43" s="642"/>
      <c r="I43" s="131"/>
      <c r="J43" s="131"/>
      <c r="K43" s="1037"/>
      <c r="L43" s="1088" t="s">
        <v>772</v>
      </c>
      <c r="M43" s="1064" t="s">
        <v>748</v>
      </c>
      <c r="N43" s="1064" t="s">
        <v>777</v>
      </c>
      <c r="O43" s="1009">
        <f>'사. 임직원보수 일람표'!G41</f>
        <v>2624000</v>
      </c>
      <c r="P43" s="1069" t="s">
        <v>744</v>
      </c>
      <c r="Q43" s="1089">
        <v>1</v>
      </c>
      <c r="R43" s="1069" t="s">
        <v>744</v>
      </c>
      <c r="S43" s="1070">
        <f>'사. 임직원보수 일람표'!E41</f>
        <v>10</v>
      </c>
      <c r="T43" s="1071" t="s">
        <v>410</v>
      </c>
      <c r="U43" s="1090">
        <f t="shared" si="1"/>
        <v>26240000</v>
      </c>
    </row>
    <row r="44" spans="1:21" ht="21.75" hidden="1" customHeight="1">
      <c r="A44" s="605"/>
      <c r="B44" s="606"/>
      <c r="C44" s="606"/>
      <c r="D44" s="607"/>
      <c r="E44" s="608"/>
      <c r="F44" s="609"/>
      <c r="G44" s="647"/>
      <c r="H44" s="642"/>
      <c r="I44" s="131"/>
      <c r="J44" s="131"/>
      <c r="K44" s="1037"/>
      <c r="L44" s="1088" t="s">
        <v>772</v>
      </c>
      <c r="M44" s="1064" t="s">
        <v>748</v>
      </c>
      <c r="N44" s="1064" t="s">
        <v>777</v>
      </c>
      <c r="O44" s="1009">
        <f>'사. 임직원보수 일람표'!G42</f>
        <v>2684000</v>
      </c>
      <c r="P44" s="1069" t="s">
        <v>744</v>
      </c>
      <c r="Q44" s="1089">
        <v>1</v>
      </c>
      <c r="R44" s="1069" t="s">
        <v>744</v>
      </c>
      <c r="S44" s="1070">
        <f>'사. 임직원보수 일람표'!E42</f>
        <v>2</v>
      </c>
      <c r="T44" s="1071" t="s">
        <v>410</v>
      </c>
      <c r="U44" s="1090">
        <f t="shared" si="1"/>
        <v>5368000</v>
      </c>
    </row>
    <row r="45" spans="1:21" ht="21.75" hidden="1" customHeight="1">
      <c r="A45" s="605"/>
      <c r="B45" s="606"/>
      <c r="C45" s="606"/>
      <c r="D45" s="607"/>
      <c r="E45" s="608"/>
      <c r="F45" s="609"/>
      <c r="G45" s="647"/>
      <c r="H45" s="642"/>
      <c r="I45" s="131"/>
      <c r="J45" s="131"/>
      <c r="K45" s="1037"/>
      <c r="L45" s="1088" t="s">
        <v>772</v>
      </c>
      <c r="M45" s="1064" t="s">
        <v>748</v>
      </c>
      <c r="N45" s="1064" t="s">
        <v>778</v>
      </c>
      <c r="O45" s="1009">
        <f>'사. 임직원보수 일람표'!G43</f>
        <v>2428000</v>
      </c>
      <c r="P45" s="1069" t="s">
        <v>744</v>
      </c>
      <c r="Q45" s="1089">
        <v>1</v>
      </c>
      <c r="R45" s="1069" t="s">
        <v>744</v>
      </c>
      <c r="S45" s="1070">
        <f>'사. 임직원보수 일람표'!E43</f>
        <v>4</v>
      </c>
      <c r="T45" s="1071" t="s">
        <v>410</v>
      </c>
      <c r="U45" s="1090">
        <f t="shared" si="1"/>
        <v>9712000</v>
      </c>
    </row>
    <row r="46" spans="1:21" ht="21.75" hidden="1" customHeight="1">
      <c r="A46" s="605"/>
      <c r="B46" s="606"/>
      <c r="C46" s="606"/>
      <c r="D46" s="607"/>
      <c r="E46" s="608"/>
      <c r="F46" s="609"/>
      <c r="G46" s="647"/>
      <c r="H46" s="642"/>
      <c r="I46" s="131"/>
      <c r="J46" s="131"/>
      <c r="K46" s="1037"/>
      <c r="L46" s="1088" t="s">
        <v>772</v>
      </c>
      <c r="M46" s="1064" t="s">
        <v>748</v>
      </c>
      <c r="N46" s="1064" t="s">
        <v>778</v>
      </c>
      <c r="O46" s="1009">
        <f>'사. 임직원보수 일람표'!G44</f>
        <v>2693000</v>
      </c>
      <c r="P46" s="1069" t="s">
        <v>744</v>
      </c>
      <c r="Q46" s="1089">
        <v>1</v>
      </c>
      <c r="R46" s="1069" t="s">
        <v>744</v>
      </c>
      <c r="S46" s="1070">
        <f>'사. 임직원보수 일람표'!E44</f>
        <v>8</v>
      </c>
      <c r="T46" s="1071" t="s">
        <v>410</v>
      </c>
      <c r="U46" s="1090">
        <f t="shared" si="1"/>
        <v>21544000</v>
      </c>
    </row>
    <row r="47" spans="1:21" ht="21.75" hidden="1" customHeight="1">
      <c r="A47" s="605"/>
      <c r="B47" s="606"/>
      <c r="C47" s="606"/>
      <c r="D47" s="607"/>
      <c r="E47" s="608"/>
      <c r="F47" s="609"/>
      <c r="G47" s="647"/>
      <c r="H47" s="642"/>
      <c r="I47" s="131"/>
      <c r="J47" s="131"/>
      <c r="K47" s="1037"/>
      <c r="L47" s="1088" t="s">
        <v>772</v>
      </c>
      <c r="M47" s="1064" t="s">
        <v>748</v>
      </c>
      <c r="N47" s="1064" t="s">
        <v>779</v>
      </c>
      <c r="O47" s="1009">
        <f>'사. 임직원보수 일람표'!G45</f>
        <v>2304000</v>
      </c>
      <c r="P47" s="1069" t="s">
        <v>744</v>
      </c>
      <c r="Q47" s="1089">
        <v>1</v>
      </c>
      <c r="R47" s="1069" t="s">
        <v>744</v>
      </c>
      <c r="S47" s="1070">
        <f>'사. 임직원보수 일람표'!E45</f>
        <v>3</v>
      </c>
      <c r="T47" s="1071" t="s">
        <v>410</v>
      </c>
      <c r="U47" s="1090">
        <f t="shared" si="1"/>
        <v>6912000</v>
      </c>
    </row>
    <row r="48" spans="1:21" ht="21.75" hidden="1" customHeight="1">
      <c r="A48" s="605"/>
      <c r="B48" s="606"/>
      <c r="C48" s="606"/>
      <c r="D48" s="607"/>
      <c r="E48" s="608"/>
      <c r="F48" s="609"/>
      <c r="G48" s="647"/>
      <c r="H48" s="642"/>
      <c r="I48" s="131"/>
      <c r="J48" s="131"/>
      <c r="K48" s="1037"/>
      <c r="L48" s="1088" t="s">
        <v>772</v>
      </c>
      <c r="M48" s="1064" t="s">
        <v>748</v>
      </c>
      <c r="N48" s="1064" t="s">
        <v>779</v>
      </c>
      <c r="O48" s="1009">
        <f>'사. 임직원보수 일람표'!G46</f>
        <v>2365000</v>
      </c>
      <c r="P48" s="1069" t="s">
        <v>744</v>
      </c>
      <c r="Q48" s="1089">
        <v>1</v>
      </c>
      <c r="R48" s="1069" t="s">
        <v>744</v>
      </c>
      <c r="S48" s="1070">
        <f>'사. 임직원보수 일람표'!E46</f>
        <v>9</v>
      </c>
      <c r="T48" s="1071" t="s">
        <v>410</v>
      </c>
      <c r="U48" s="1090">
        <f t="shared" si="1"/>
        <v>21285000</v>
      </c>
    </row>
    <row r="49" spans="1:21" ht="21.75" hidden="1" customHeight="1">
      <c r="A49" s="605"/>
      <c r="B49" s="606"/>
      <c r="C49" s="606"/>
      <c r="D49" s="607"/>
      <c r="E49" s="608"/>
      <c r="F49" s="609"/>
      <c r="G49" s="647"/>
      <c r="H49" s="642"/>
      <c r="I49" s="131"/>
      <c r="J49" s="131"/>
      <c r="K49" s="1037"/>
      <c r="L49" s="1088" t="s">
        <v>772</v>
      </c>
      <c r="M49" s="1064"/>
      <c r="N49" s="1064" t="s">
        <v>780</v>
      </c>
      <c r="O49" s="1009">
        <f>'사. 임직원보수 일람표'!G47</f>
        <v>2304000</v>
      </c>
      <c r="P49" s="1069" t="s">
        <v>744</v>
      </c>
      <c r="Q49" s="1089">
        <v>1</v>
      </c>
      <c r="R49" s="1069" t="s">
        <v>744</v>
      </c>
      <c r="S49" s="1070">
        <f>'사. 임직원보수 일람표'!E47</f>
        <v>3</v>
      </c>
      <c r="T49" s="1071" t="s">
        <v>410</v>
      </c>
      <c r="U49" s="1090">
        <f t="shared" si="1"/>
        <v>6912000</v>
      </c>
    </row>
    <row r="50" spans="1:21" ht="21.75" hidden="1" customHeight="1">
      <c r="A50" s="605"/>
      <c r="B50" s="606"/>
      <c r="C50" s="606"/>
      <c r="D50" s="607"/>
      <c r="E50" s="608"/>
      <c r="F50" s="609"/>
      <c r="G50" s="647"/>
      <c r="H50" s="642"/>
      <c r="I50" s="131"/>
      <c r="J50" s="131"/>
      <c r="K50" s="1037"/>
      <c r="L50" s="1088" t="s">
        <v>772</v>
      </c>
      <c r="M50" s="1064"/>
      <c r="N50" s="1064" t="s">
        <v>780</v>
      </c>
      <c r="O50" s="1009">
        <f>'사. 임직원보수 일람표'!G48</f>
        <v>2365000</v>
      </c>
      <c r="P50" s="1069" t="s">
        <v>744</v>
      </c>
      <c r="Q50" s="1089">
        <v>1</v>
      </c>
      <c r="R50" s="1069" t="s">
        <v>744</v>
      </c>
      <c r="S50" s="1070">
        <f>'사. 임직원보수 일람표'!E48</f>
        <v>9</v>
      </c>
      <c r="T50" s="1071" t="s">
        <v>410</v>
      </c>
      <c r="U50" s="1090">
        <f t="shared" si="1"/>
        <v>21285000</v>
      </c>
    </row>
    <row r="51" spans="1:21" ht="21.75" hidden="1" customHeight="1">
      <c r="A51" s="605"/>
      <c r="B51" s="606"/>
      <c r="C51" s="606"/>
      <c r="D51" s="607"/>
      <c r="E51" s="608"/>
      <c r="F51" s="609"/>
      <c r="G51" s="647"/>
      <c r="H51" s="642"/>
      <c r="I51" s="131"/>
      <c r="J51" s="131"/>
      <c r="K51" s="1037"/>
      <c r="L51" s="1088" t="s">
        <v>772</v>
      </c>
      <c r="M51" s="1064"/>
      <c r="N51" s="1064" t="s">
        <v>781</v>
      </c>
      <c r="O51" s="1009">
        <f>'사. 임직원보수 일람표'!G49</f>
        <v>2493000</v>
      </c>
      <c r="P51" s="1069" t="s">
        <v>744</v>
      </c>
      <c r="Q51" s="1089">
        <v>1</v>
      </c>
      <c r="R51" s="1069" t="s">
        <v>744</v>
      </c>
      <c r="S51" s="1070">
        <f>'사. 임직원보수 일람표'!E49</f>
        <v>5</v>
      </c>
      <c r="T51" s="1071" t="s">
        <v>410</v>
      </c>
      <c r="U51" s="1090">
        <f t="shared" si="1"/>
        <v>12465000</v>
      </c>
    </row>
    <row r="52" spans="1:21" ht="21.75" hidden="1" customHeight="1">
      <c r="A52" s="605"/>
      <c r="B52" s="606"/>
      <c r="C52" s="606"/>
      <c r="D52" s="607"/>
      <c r="E52" s="608"/>
      <c r="F52" s="609"/>
      <c r="G52" s="647"/>
      <c r="H52" s="642"/>
      <c r="I52" s="131"/>
      <c r="J52" s="131"/>
      <c r="K52" s="1037"/>
      <c r="L52" s="1088" t="s">
        <v>772</v>
      </c>
      <c r="M52" s="1064"/>
      <c r="N52" s="1064" t="s">
        <v>782</v>
      </c>
      <c r="O52" s="1009">
        <f>'사. 임직원보수 일람표'!G51</f>
        <v>2365000</v>
      </c>
      <c r="P52" s="1069" t="s">
        <v>744</v>
      </c>
      <c r="Q52" s="1089">
        <v>1</v>
      </c>
      <c r="R52" s="1069" t="s">
        <v>744</v>
      </c>
      <c r="S52" s="1070">
        <f>'사. 임직원보수 일람표'!E51</f>
        <v>2</v>
      </c>
      <c r="T52" s="1071" t="s">
        <v>410</v>
      </c>
      <c r="U52" s="1090">
        <f t="shared" si="1"/>
        <v>4730000</v>
      </c>
    </row>
    <row r="53" spans="1:21" ht="21.75" hidden="1" customHeight="1">
      <c r="A53" s="605"/>
      <c r="B53" s="606"/>
      <c r="C53" s="606"/>
      <c r="D53" s="607"/>
      <c r="E53" s="608"/>
      <c r="F53" s="609"/>
      <c r="G53" s="647"/>
      <c r="H53" s="642"/>
      <c r="I53" s="131"/>
      <c r="J53" s="131"/>
      <c r="K53" s="1037"/>
      <c r="L53" s="1088" t="s">
        <v>772</v>
      </c>
      <c r="M53" s="1064"/>
      <c r="N53" s="1064" t="s">
        <v>782</v>
      </c>
      <c r="O53" s="1009">
        <f>'사. 임직원보수 일람표'!G52</f>
        <v>2428000</v>
      </c>
      <c r="P53" s="1069" t="s">
        <v>744</v>
      </c>
      <c r="Q53" s="1089">
        <v>1</v>
      </c>
      <c r="R53" s="1069" t="s">
        <v>744</v>
      </c>
      <c r="S53" s="1070">
        <f>'사. 임직원보수 일람표'!E52</f>
        <v>10</v>
      </c>
      <c r="T53" s="1071" t="s">
        <v>410</v>
      </c>
      <c r="U53" s="1090">
        <f t="shared" si="1"/>
        <v>24280000</v>
      </c>
    </row>
    <row r="54" spans="1:21" ht="21.75" hidden="1" customHeight="1">
      <c r="A54" s="605"/>
      <c r="B54" s="606"/>
      <c r="C54" s="606"/>
      <c r="D54" s="607"/>
      <c r="E54" s="608"/>
      <c r="F54" s="609"/>
      <c r="G54" s="647"/>
      <c r="H54" s="642"/>
      <c r="I54" s="131"/>
      <c r="J54" s="131"/>
      <c r="K54" s="1037"/>
      <c r="L54" s="1088" t="s">
        <v>772</v>
      </c>
      <c r="M54" s="1064"/>
      <c r="N54" s="1064" t="s">
        <v>783</v>
      </c>
      <c r="O54" s="1009">
        <f>'사. 임직원보수 일람표'!G53</f>
        <v>2428000</v>
      </c>
      <c r="P54" s="1069" t="s">
        <v>744</v>
      </c>
      <c r="Q54" s="1089">
        <v>1</v>
      </c>
      <c r="R54" s="1069" t="s">
        <v>744</v>
      </c>
      <c r="S54" s="1070">
        <f>'사. 임직원보수 일람표'!E53</f>
        <v>5</v>
      </c>
      <c r="T54" s="1071" t="s">
        <v>410</v>
      </c>
      <c r="U54" s="1090">
        <f t="shared" si="1"/>
        <v>12140000</v>
      </c>
    </row>
    <row r="55" spans="1:21" ht="21.75" hidden="1" customHeight="1">
      <c r="A55" s="605"/>
      <c r="B55" s="606"/>
      <c r="C55" s="606"/>
      <c r="D55" s="607"/>
      <c r="E55" s="608"/>
      <c r="F55" s="609"/>
      <c r="G55" s="647"/>
      <c r="H55" s="642"/>
      <c r="I55" s="131"/>
      <c r="J55" s="131"/>
      <c r="K55" s="1037"/>
      <c r="L55" s="1088" t="s">
        <v>772</v>
      </c>
      <c r="M55" s="1064"/>
      <c r="N55" s="1064" t="s">
        <v>783</v>
      </c>
      <c r="O55" s="1009">
        <f>'사. 임직원보수 일람표'!G54</f>
        <v>2493000</v>
      </c>
      <c r="P55" s="1069" t="s">
        <v>744</v>
      </c>
      <c r="Q55" s="1089">
        <v>1</v>
      </c>
      <c r="R55" s="1069" t="s">
        <v>744</v>
      </c>
      <c r="S55" s="1070">
        <f>'사. 임직원보수 일람표'!E54</f>
        <v>7</v>
      </c>
      <c r="T55" s="1071" t="s">
        <v>410</v>
      </c>
      <c r="U55" s="1090">
        <f t="shared" si="1"/>
        <v>17451000</v>
      </c>
    </row>
    <row r="56" spans="1:21" ht="21.75" hidden="1" customHeight="1">
      <c r="A56" s="605"/>
      <c r="B56" s="606"/>
      <c r="C56" s="606"/>
      <c r="D56" s="607"/>
      <c r="E56" s="608"/>
      <c r="F56" s="609"/>
      <c r="G56" s="647"/>
      <c r="H56" s="642"/>
      <c r="I56" s="131"/>
      <c r="J56" s="131"/>
      <c r="K56" s="1037"/>
      <c r="L56" s="1088" t="s">
        <v>772</v>
      </c>
      <c r="M56" s="1064"/>
      <c r="N56" s="1064" t="s">
        <v>784</v>
      </c>
      <c r="O56" s="1009">
        <f>'사. 임직원보수 일람표'!G55</f>
        <v>2428000</v>
      </c>
      <c r="P56" s="1069" t="s">
        <v>744</v>
      </c>
      <c r="Q56" s="1089">
        <v>1</v>
      </c>
      <c r="R56" s="1069" t="s">
        <v>744</v>
      </c>
      <c r="S56" s="1070">
        <f>'사. 임직원보수 일람표'!E55</f>
        <v>2</v>
      </c>
      <c r="T56" s="1071" t="s">
        <v>410</v>
      </c>
      <c r="U56" s="1090">
        <f t="shared" si="1"/>
        <v>4856000</v>
      </c>
    </row>
    <row r="57" spans="1:21" ht="21.75" hidden="1" customHeight="1">
      <c r="A57" s="605"/>
      <c r="B57" s="606"/>
      <c r="C57" s="606"/>
      <c r="D57" s="607"/>
      <c r="E57" s="608"/>
      <c r="F57" s="609"/>
      <c r="G57" s="647"/>
      <c r="H57" s="642"/>
      <c r="I57" s="131"/>
      <c r="J57" s="131"/>
      <c r="K57" s="1037"/>
      <c r="L57" s="1088" t="s">
        <v>772</v>
      </c>
      <c r="M57" s="1064"/>
      <c r="N57" s="1064" t="s">
        <v>784</v>
      </c>
      <c r="O57" s="1009">
        <f>'사. 임직원보수 일람표'!G56</f>
        <v>2493000</v>
      </c>
      <c r="P57" s="1069" t="s">
        <v>744</v>
      </c>
      <c r="Q57" s="1089">
        <v>1</v>
      </c>
      <c r="R57" s="1069" t="s">
        <v>744</v>
      </c>
      <c r="S57" s="1070">
        <f>'사. 임직원보수 일람표'!E56</f>
        <v>5</v>
      </c>
      <c r="T57" s="1071" t="s">
        <v>410</v>
      </c>
      <c r="U57" s="1090">
        <f t="shared" si="1"/>
        <v>12465000</v>
      </c>
    </row>
    <row r="58" spans="1:21" ht="21.75" hidden="1" customHeight="1">
      <c r="A58" s="605"/>
      <c r="B58" s="606"/>
      <c r="C58" s="606"/>
      <c r="D58" s="607"/>
      <c r="E58" s="608"/>
      <c r="F58" s="609"/>
      <c r="G58" s="647"/>
      <c r="H58" s="642"/>
      <c r="I58" s="131"/>
      <c r="J58" s="131"/>
      <c r="K58" s="1037"/>
      <c r="L58" s="1088" t="s">
        <v>772</v>
      </c>
      <c r="M58" s="1064"/>
      <c r="N58" s="1064" t="s">
        <v>785</v>
      </c>
      <c r="O58" s="1009">
        <f>'사. 임직원보수 일람표'!G57</f>
        <v>2304000</v>
      </c>
      <c r="P58" s="1069" t="s">
        <v>744</v>
      </c>
      <c r="Q58" s="1089">
        <v>1</v>
      </c>
      <c r="R58" s="1069" t="s">
        <v>744</v>
      </c>
      <c r="S58" s="1070">
        <f>'사. 임직원보수 일람표'!E57</f>
        <v>6</v>
      </c>
      <c r="T58" s="1071" t="s">
        <v>410</v>
      </c>
      <c r="U58" s="1090">
        <f t="shared" si="1"/>
        <v>13824000</v>
      </c>
    </row>
    <row r="59" spans="1:21" ht="21.75" hidden="1" customHeight="1">
      <c r="A59" s="605"/>
      <c r="B59" s="606"/>
      <c r="C59" s="606"/>
      <c r="D59" s="607"/>
      <c r="E59" s="608"/>
      <c r="F59" s="609"/>
      <c r="G59" s="647"/>
      <c r="H59" s="642"/>
      <c r="I59" s="131"/>
      <c r="J59" s="131"/>
      <c r="K59" s="1037"/>
      <c r="L59" s="1088" t="s">
        <v>772</v>
      </c>
      <c r="M59" s="1064"/>
      <c r="N59" s="1064" t="s">
        <v>785</v>
      </c>
      <c r="O59" s="1009">
        <f>'사. 임직원보수 일람표'!G58</f>
        <v>2365000</v>
      </c>
      <c r="P59" s="1069" t="s">
        <v>744</v>
      </c>
      <c r="Q59" s="1089">
        <v>1</v>
      </c>
      <c r="R59" s="1069" t="s">
        <v>744</v>
      </c>
      <c r="S59" s="1070">
        <f>'사. 임직원보수 일람표'!E58</f>
        <v>6</v>
      </c>
      <c r="T59" s="1071" t="s">
        <v>410</v>
      </c>
      <c r="U59" s="1090">
        <f t="shared" si="1"/>
        <v>14190000</v>
      </c>
    </row>
    <row r="60" spans="1:21" ht="21.75" hidden="1" customHeight="1">
      <c r="A60" s="605"/>
      <c r="B60" s="606"/>
      <c r="C60" s="606"/>
      <c r="D60" s="607"/>
      <c r="E60" s="608"/>
      <c r="F60" s="609"/>
      <c r="G60" s="647"/>
      <c r="H60" s="642"/>
      <c r="I60" s="131"/>
      <c r="J60" s="131"/>
      <c r="K60" s="1037"/>
      <c r="L60" s="1088" t="s">
        <v>772</v>
      </c>
      <c r="M60" s="1064"/>
      <c r="N60" s="1064" t="s">
        <v>786</v>
      </c>
      <c r="O60" s="1009">
        <f>'사. 임직원보수 일람표'!G59</f>
        <v>2175000</v>
      </c>
      <c r="P60" s="1069" t="s">
        <v>744</v>
      </c>
      <c r="Q60" s="1089">
        <v>1</v>
      </c>
      <c r="R60" s="1069" t="s">
        <v>744</v>
      </c>
      <c r="S60" s="1070">
        <f>'사. 임직원보수 일람표'!E59</f>
        <v>6</v>
      </c>
      <c r="T60" s="1071" t="s">
        <v>410</v>
      </c>
      <c r="U60" s="1090">
        <f t="shared" si="1"/>
        <v>13050000</v>
      </c>
    </row>
    <row r="61" spans="1:21" ht="21.75" hidden="1" customHeight="1">
      <c r="A61" s="605"/>
      <c r="B61" s="606"/>
      <c r="C61" s="606"/>
      <c r="D61" s="607"/>
      <c r="E61" s="608"/>
      <c r="F61" s="609"/>
      <c r="G61" s="647"/>
      <c r="H61" s="642"/>
      <c r="I61" s="131"/>
      <c r="J61" s="131"/>
      <c r="K61" s="1037"/>
      <c r="L61" s="1088" t="s">
        <v>772</v>
      </c>
      <c r="M61" s="1064"/>
      <c r="N61" s="1064" t="s">
        <v>786</v>
      </c>
      <c r="O61" s="1009">
        <f>'사. 임직원보수 일람표'!G60</f>
        <v>2241000</v>
      </c>
      <c r="P61" s="1069" t="s">
        <v>744</v>
      </c>
      <c r="Q61" s="1089">
        <v>1</v>
      </c>
      <c r="R61" s="1069" t="s">
        <v>744</v>
      </c>
      <c r="S61" s="1070">
        <f>'사. 임직원보수 일람표'!E60</f>
        <v>6</v>
      </c>
      <c r="T61" s="1071" t="s">
        <v>410</v>
      </c>
      <c r="U61" s="1090">
        <f t="shared" si="1"/>
        <v>13446000</v>
      </c>
    </row>
    <row r="62" spans="1:21" ht="21.75" hidden="1" customHeight="1">
      <c r="A62" s="605"/>
      <c r="B62" s="606"/>
      <c r="C62" s="606"/>
      <c r="D62" s="607"/>
      <c r="E62" s="608"/>
      <c r="F62" s="609"/>
      <c r="G62" s="647"/>
      <c r="H62" s="642"/>
      <c r="I62" s="131"/>
      <c r="J62" s="131"/>
      <c r="K62" s="1037"/>
      <c r="L62" s="1088" t="s">
        <v>772</v>
      </c>
      <c r="M62" s="1064"/>
      <c r="N62" s="1064" t="s">
        <v>787</v>
      </c>
      <c r="O62" s="1009">
        <f>'사. 임직원보수 일람표'!G61</f>
        <v>2047000</v>
      </c>
      <c r="P62" s="1069" t="s">
        <v>744</v>
      </c>
      <c r="Q62" s="1089">
        <v>1</v>
      </c>
      <c r="R62" s="1069" t="s">
        <v>744</v>
      </c>
      <c r="S62" s="1070">
        <f>'사. 임직원보수 일람표'!E61</f>
        <v>4</v>
      </c>
      <c r="T62" s="1071" t="s">
        <v>410</v>
      </c>
      <c r="U62" s="1090">
        <f t="shared" si="1"/>
        <v>8188000</v>
      </c>
    </row>
    <row r="63" spans="1:21" ht="21.75" hidden="1" customHeight="1">
      <c r="A63" s="605"/>
      <c r="B63" s="606"/>
      <c r="C63" s="606"/>
      <c r="D63" s="607"/>
      <c r="E63" s="608"/>
      <c r="F63" s="609"/>
      <c r="G63" s="647"/>
      <c r="H63" s="642"/>
      <c r="I63" s="131"/>
      <c r="J63" s="131"/>
      <c r="K63" s="1037"/>
      <c r="L63" s="1088" t="s">
        <v>772</v>
      </c>
      <c r="M63" s="1064"/>
      <c r="N63" s="1064" t="s">
        <v>787</v>
      </c>
      <c r="O63" s="1009">
        <f>'사. 임직원보수 일람표'!G62</f>
        <v>2109000</v>
      </c>
      <c r="P63" s="1069" t="s">
        <v>744</v>
      </c>
      <c r="Q63" s="1089">
        <v>1</v>
      </c>
      <c r="R63" s="1069" t="s">
        <v>744</v>
      </c>
      <c r="S63" s="1070">
        <f>'사. 임직원보수 일람표'!E62</f>
        <v>8</v>
      </c>
      <c r="T63" s="1071" t="s">
        <v>410</v>
      </c>
      <c r="U63" s="1090">
        <f t="shared" si="1"/>
        <v>16872000</v>
      </c>
    </row>
    <row r="64" spans="1:21" ht="21.75" hidden="1" customHeight="1">
      <c r="A64" s="605"/>
      <c r="B64" s="606"/>
      <c r="C64" s="606"/>
      <c r="D64" s="607"/>
      <c r="E64" s="608"/>
      <c r="F64" s="609"/>
      <c r="G64" s="647"/>
      <c r="H64" s="642"/>
      <c r="I64" s="131"/>
      <c r="J64" s="131"/>
      <c r="K64" s="1037"/>
      <c r="L64" s="1088" t="s">
        <v>772</v>
      </c>
      <c r="M64" s="1064"/>
      <c r="N64" s="1064" t="s">
        <v>788</v>
      </c>
      <c r="O64" s="1009">
        <f>'사. 임직원보수 일람표'!G63</f>
        <v>1987000</v>
      </c>
      <c r="P64" s="1069" t="s">
        <v>744</v>
      </c>
      <c r="Q64" s="1089">
        <v>1</v>
      </c>
      <c r="R64" s="1069" t="s">
        <v>744</v>
      </c>
      <c r="S64" s="1070">
        <f>'사. 임직원보수 일람표'!E63</f>
        <v>9</v>
      </c>
      <c r="T64" s="1071" t="s">
        <v>410</v>
      </c>
      <c r="U64" s="1090">
        <f t="shared" si="1"/>
        <v>17883000</v>
      </c>
    </row>
    <row r="65" spans="1:21" ht="21.75" hidden="1" customHeight="1">
      <c r="A65" s="605"/>
      <c r="B65" s="606"/>
      <c r="C65" s="606"/>
      <c r="D65" s="607"/>
      <c r="E65" s="608"/>
      <c r="F65" s="609"/>
      <c r="G65" s="647"/>
      <c r="H65" s="642"/>
      <c r="I65" s="131"/>
      <c r="J65" s="131"/>
      <c r="K65" s="1037"/>
      <c r="L65" s="1088" t="s">
        <v>772</v>
      </c>
      <c r="M65" s="1064"/>
      <c r="N65" s="1064" t="s">
        <v>788</v>
      </c>
      <c r="O65" s="1009">
        <f>'사. 임직원보수 일람표'!G64</f>
        <v>2047000</v>
      </c>
      <c r="P65" s="1069" t="s">
        <v>744</v>
      </c>
      <c r="Q65" s="1089">
        <v>1</v>
      </c>
      <c r="R65" s="1069" t="s">
        <v>744</v>
      </c>
      <c r="S65" s="1070">
        <f>'사. 임직원보수 일람표'!E64</f>
        <v>3</v>
      </c>
      <c r="T65" s="1071" t="s">
        <v>410</v>
      </c>
      <c r="U65" s="1090">
        <f t="shared" si="1"/>
        <v>6141000</v>
      </c>
    </row>
    <row r="66" spans="1:21" ht="21.75" hidden="1" customHeight="1">
      <c r="A66" s="605"/>
      <c r="B66" s="606"/>
      <c r="C66" s="606"/>
      <c r="D66" s="607"/>
      <c r="E66" s="608"/>
      <c r="F66" s="609"/>
      <c r="G66" s="647"/>
      <c r="H66" s="642"/>
      <c r="I66" s="131"/>
      <c r="J66" s="131"/>
      <c r="K66" s="1037"/>
      <c r="L66" s="1088" t="s">
        <v>772</v>
      </c>
      <c r="M66" s="1064"/>
      <c r="N66" s="1064" t="s">
        <v>789</v>
      </c>
      <c r="O66" s="1009">
        <f>'사. 임직원보수 일람표'!G65</f>
        <v>2047000</v>
      </c>
      <c r="P66" s="1069" t="s">
        <v>744</v>
      </c>
      <c r="Q66" s="1089">
        <v>1</v>
      </c>
      <c r="R66" s="1069" t="s">
        <v>744</v>
      </c>
      <c r="S66" s="1070">
        <f>'사. 임직원보수 일람표'!E65</f>
        <v>4</v>
      </c>
      <c r="T66" s="1071" t="s">
        <v>410</v>
      </c>
      <c r="U66" s="1090">
        <f t="shared" si="1"/>
        <v>8188000</v>
      </c>
    </row>
    <row r="67" spans="1:21" ht="21.75" hidden="1" customHeight="1">
      <c r="A67" s="605"/>
      <c r="B67" s="606"/>
      <c r="C67" s="606"/>
      <c r="D67" s="607"/>
      <c r="E67" s="608"/>
      <c r="F67" s="609"/>
      <c r="G67" s="647"/>
      <c r="H67" s="642"/>
      <c r="I67" s="131"/>
      <c r="J67" s="131"/>
      <c r="K67" s="1037"/>
      <c r="L67" s="1088" t="s">
        <v>772</v>
      </c>
      <c r="M67" s="1064"/>
      <c r="N67" s="1064" t="s">
        <v>789</v>
      </c>
      <c r="O67" s="1009">
        <f>'사. 임직원보수 일람표'!G66</f>
        <v>2109000</v>
      </c>
      <c r="P67" s="1069" t="s">
        <v>744</v>
      </c>
      <c r="Q67" s="1089">
        <v>1</v>
      </c>
      <c r="R67" s="1069" t="s">
        <v>744</v>
      </c>
      <c r="S67" s="1070">
        <f>'사. 임직원보수 일람표'!E66</f>
        <v>8</v>
      </c>
      <c r="T67" s="1071" t="s">
        <v>410</v>
      </c>
      <c r="U67" s="1090">
        <f t="shared" si="1"/>
        <v>16872000</v>
      </c>
    </row>
    <row r="68" spans="1:21" ht="21.75" hidden="1" customHeight="1">
      <c r="A68" s="605"/>
      <c r="B68" s="606"/>
      <c r="C68" s="606"/>
      <c r="D68" s="607"/>
      <c r="E68" s="608"/>
      <c r="F68" s="609"/>
      <c r="G68" s="647"/>
      <c r="H68" s="642"/>
      <c r="I68" s="131"/>
      <c r="J68" s="131"/>
      <c r="K68" s="1037"/>
      <c r="L68" s="1088" t="s">
        <v>772</v>
      </c>
      <c r="M68" s="1064"/>
      <c r="N68" s="1064" t="s">
        <v>790</v>
      </c>
      <c r="O68" s="1009">
        <f>'사. 임직원보수 일람표'!G67</f>
        <v>2047000</v>
      </c>
      <c r="P68" s="1069" t="s">
        <v>744</v>
      </c>
      <c r="Q68" s="1089">
        <v>1</v>
      </c>
      <c r="R68" s="1069" t="s">
        <v>744</v>
      </c>
      <c r="S68" s="1070">
        <f>'사. 임직원보수 일람표'!E67</f>
        <v>10</v>
      </c>
      <c r="T68" s="1071" t="s">
        <v>410</v>
      </c>
      <c r="U68" s="1090">
        <f t="shared" si="1"/>
        <v>20470000</v>
      </c>
    </row>
    <row r="69" spans="1:21" ht="21.75" hidden="1" customHeight="1">
      <c r="A69" s="605"/>
      <c r="B69" s="606"/>
      <c r="C69" s="606"/>
      <c r="D69" s="607"/>
      <c r="E69" s="608"/>
      <c r="F69" s="609"/>
      <c r="G69" s="647"/>
      <c r="H69" s="642"/>
      <c r="I69" s="131"/>
      <c r="J69" s="131"/>
      <c r="K69" s="1037"/>
      <c r="L69" s="1088" t="s">
        <v>772</v>
      </c>
      <c r="M69" s="1064"/>
      <c r="N69" s="1064" t="s">
        <v>790</v>
      </c>
      <c r="O69" s="1009">
        <f>'사. 임직원보수 일람표'!G68</f>
        <v>2109000</v>
      </c>
      <c r="P69" s="1069" t="s">
        <v>744</v>
      </c>
      <c r="Q69" s="1089">
        <v>1</v>
      </c>
      <c r="R69" s="1069" t="s">
        <v>744</v>
      </c>
      <c r="S69" s="1070">
        <f>'사. 임직원보수 일람표'!E68</f>
        <v>2</v>
      </c>
      <c r="T69" s="1071" t="s">
        <v>410</v>
      </c>
      <c r="U69" s="1090">
        <f t="shared" si="1"/>
        <v>4218000</v>
      </c>
    </row>
    <row r="70" spans="1:21" ht="21.75" hidden="1" customHeight="1">
      <c r="A70" s="605"/>
      <c r="B70" s="606"/>
      <c r="C70" s="606"/>
      <c r="D70" s="607"/>
      <c r="E70" s="608"/>
      <c r="F70" s="609"/>
      <c r="G70" s="647"/>
      <c r="H70" s="642"/>
      <c r="I70" s="131"/>
      <c r="J70" s="131"/>
      <c r="K70" s="1037"/>
      <c r="L70" s="1088" t="s">
        <v>772</v>
      </c>
      <c r="M70" s="1064"/>
      <c r="N70" s="1064" t="s">
        <v>791</v>
      </c>
      <c r="O70" s="1009">
        <f>'사. 임직원보수 일람표'!G69</f>
        <v>2047000</v>
      </c>
      <c r="P70" s="1069" t="s">
        <v>744</v>
      </c>
      <c r="Q70" s="1089">
        <v>1</v>
      </c>
      <c r="R70" s="1069" t="s">
        <v>744</v>
      </c>
      <c r="S70" s="1070">
        <f>'사. 임직원보수 일람표'!E69</f>
        <v>10</v>
      </c>
      <c r="T70" s="1071" t="s">
        <v>410</v>
      </c>
      <c r="U70" s="1090">
        <f t="shared" si="1"/>
        <v>20470000</v>
      </c>
    </row>
    <row r="71" spans="1:21" ht="21.75" hidden="1" customHeight="1">
      <c r="A71" s="605"/>
      <c r="B71" s="606"/>
      <c r="C71" s="606"/>
      <c r="D71" s="607"/>
      <c r="E71" s="608"/>
      <c r="F71" s="609"/>
      <c r="G71" s="647"/>
      <c r="H71" s="642"/>
      <c r="I71" s="131"/>
      <c r="J71" s="131"/>
      <c r="K71" s="1037"/>
      <c r="L71" s="1088" t="s">
        <v>772</v>
      </c>
      <c r="M71" s="1064"/>
      <c r="N71" s="1064" t="s">
        <v>791</v>
      </c>
      <c r="O71" s="1009">
        <f>'사. 임직원보수 일람표'!G70</f>
        <v>2109000</v>
      </c>
      <c r="P71" s="1069" t="s">
        <v>744</v>
      </c>
      <c r="Q71" s="1089">
        <v>1</v>
      </c>
      <c r="R71" s="1069" t="s">
        <v>744</v>
      </c>
      <c r="S71" s="1070">
        <f>'사. 임직원보수 일람표'!E70</f>
        <v>2</v>
      </c>
      <c r="T71" s="1071" t="s">
        <v>410</v>
      </c>
      <c r="U71" s="1090">
        <f t="shared" si="1"/>
        <v>4218000</v>
      </c>
    </row>
    <row r="72" spans="1:21" ht="21.75" hidden="1" customHeight="1">
      <c r="A72" s="605"/>
      <c r="B72" s="606"/>
      <c r="C72" s="606"/>
      <c r="D72" s="607"/>
      <c r="E72" s="608"/>
      <c r="F72" s="609"/>
      <c r="G72" s="647"/>
      <c r="H72" s="642"/>
      <c r="I72" s="131"/>
      <c r="J72" s="131"/>
      <c r="K72" s="1037"/>
      <c r="L72" s="1088" t="s">
        <v>772</v>
      </c>
      <c r="M72" s="1064"/>
      <c r="N72" s="1064" t="s">
        <v>792</v>
      </c>
      <c r="O72" s="1009">
        <f>'사. 임직원보수 일람표'!G71</f>
        <v>2175000</v>
      </c>
      <c r="P72" s="1069" t="s">
        <v>744</v>
      </c>
      <c r="Q72" s="1089">
        <v>1</v>
      </c>
      <c r="R72" s="1069" t="s">
        <v>744</v>
      </c>
      <c r="S72" s="1070">
        <f>'사. 임직원보수 일람표'!E71</f>
        <v>12</v>
      </c>
      <c r="T72" s="1071" t="s">
        <v>410</v>
      </c>
      <c r="U72" s="1090">
        <f t="shared" si="1"/>
        <v>26100000</v>
      </c>
    </row>
    <row r="73" spans="1:21" ht="21.75" hidden="1" customHeight="1">
      <c r="A73" s="605"/>
      <c r="B73" s="606"/>
      <c r="C73" s="606"/>
      <c r="D73" s="607"/>
      <c r="E73" s="608"/>
      <c r="F73" s="609"/>
      <c r="G73" s="647"/>
      <c r="H73" s="642"/>
      <c r="I73" s="131"/>
      <c r="J73" s="131"/>
      <c r="K73" s="1037"/>
      <c r="L73" s="1088" t="s">
        <v>772</v>
      </c>
      <c r="M73" s="1064"/>
      <c r="N73" s="1064" t="s">
        <v>793</v>
      </c>
      <c r="O73" s="1009">
        <f>'사. 임직원보수 일람표'!G73</f>
        <v>1987000</v>
      </c>
      <c r="P73" s="1069" t="s">
        <v>744</v>
      </c>
      <c r="Q73" s="1089">
        <v>1</v>
      </c>
      <c r="R73" s="1069" t="s">
        <v>744</v>
      </c>
      <c r="S73" s="1070">
        <f>'사. 임직원보수 일람표'!E73</f>
        <v>2</v>
      </c>
      <c r="T73" s="1071" t="s">
        <v>410</v>
      </c>
      <c r="U73" s="1090">
        <f t="shared" si="1"/>
        <v>3974000</v>
      </c>
    </row>
    <row r="74" spans="1:21" ht="21.75" hidden="1" customHeight="1">
      <c r="A74" s="605"/>
      <c r="B74" s="606"/>
      <c r="C74" s="606"/>
      <c r="D74" s="607"/>
      <c r="E74" s="608"/>
      <c r="F74" s="609"/>
      <c r="G74" s="647"/>
      <c r="H74" s="642"/>
      <c r="I74" s="131"/>
      <c r="J74" s="131"/>
      <c r="K74" s="1037"/>
      <c r="L74" s="1088" t="s">
        <v>772</v>
      </c>
      <c r="M74" s="1064"/>
      <c r="N74" s="1064" t="s">
        <v>793</v>
      </c>
      <c r="O74" s="1009">
        <f>'사. 임직원보수 일람표'!G74</f>
        <v>2047000</v>
      </c>
      <c r="P74" s="1069" t="s">
        <v>744</v>
      </c>
      <c r="Q74" s="1089">
        <v>1</v>
      </c>
      <c r="R74" s="1069" t="s">
        <v>744</v>
      </c>
      <c r="S74" s="1070">
        <f>'사. 임직원보수 일람표'!E74</f>
        <v>10</v>
      </c>
      <c r="T74" s="1071" t="s">
        <v>410</v>
      </c>
      <c r="U74" s="1090">
        <f t="shared" ref="U74:U105" si="2">O74*Q74*S74</f>
        <v>20470000</v>
      </c>
    </row>
    <row r="75" spans="1:21" ht="21.75" hidden="1" customHeight="1">
      <c r="A75" s="605"/>
      <c r="B75" s="606"/>
      <c r="C75" s="606"/>
      <c r="D75" s="607"/>
      <c r="E75" s="608"/>
      <c r="F75" s="609"/>
      <c r="G75" s="647"/>
      <c r="H75" s="642"/>
      <c r="I75" s="131"/>
      <c r="J75" s="131"/>
      <c r="K75" s="1037"/>
      <c r="L75" s="1088" t="s">
        <v>772</v>
      </c>
      <c r="M75" s="1064"/>
      <c r="N75" s="1064" t="s">
        <v>794</v>
      </c>
      <c r="O75" s="1009">
        <f>'사. 임직원보수 일람표'!G75</f>
        <v>1873000</v>
      </c>
      <c r="P75" s="1069" t="s">
        <v>744</v>
      </c>
      <c r="Q75" s="1089">
        <v>1</v>
      </c>
      <c r="R75" s="1069" t="s">
        <v>744</v>
      </c>
      <c r="S75" s="1070">
        <f>'사. 임직원보수 일람표'!E75</f>
        <v>5</v>
      </c>
      <c r="T75" s="1071" t="s">
        <v>410</v>
      </c>
      <c r="U75" s="1090">
        <f t="shared" si="2"/>
        <v>9365000</v>
      </c>
    </row>
    <row r="76" spans="1:21" ht="21.75" hidden="1" customHeight="1">
      <c r="A76" s="605"/>
      <c r="B76" s="606"/>
      <c r="C76" s="606"/>
      <c r="D76" s="607"/>
      <c r="E76" s="608"/>
      <c r="F76" s="609"/>
      <c r="G76" s="647"/>
      <c r="H76" s="642"/>
      <c r="I76" s="131"/>
      <c r="J76" s="131"/>
      <c r="K76" s="1037"/>
      <c r="L76" s="1088" t="s">
        <v>772</v>
      </c>
      <c r="M76" s="1064"/>
      <c r="N76" s="1064" t="s">
        <v>794</v>
      </c>
      <c r="O76" s="1009">
        <f>'사. 임직원보수 일람표'!G76</f>
        <v>1929000</v>
      </c>
      <c r="P76" s="1069" t="s">
        <v>744</v>
      </c>
      <c r="Q76" s="1089">
        <v>1</v>
      </c>
      <c r="R76" s="1069" t="s">
        <v>744</v>
      </c>
      <c r="S76" s="1070">
        <f>'사. 임직원보수 일람표'!E76</f>
        <v>7</v>
      </c>
      <c r="T76" s="1071" t="s">
        <v>410</v>
      </c>
      <c r="U76" s="1090">
        <f t="shared" si="2"/>
        <v>13503000</v>
      </c>
    </row>
    <row r="77" spans="1:21" ht="21.75" hidden="1" customHeight="1">
      <c r="A77" s="605"/>
      <c r="B77" s="606"/>
      <c r="C77" s="606"/>
      <c r="D77" s="607"/>
      <c r="E77" s="608"/>
      <c r="F77" s="609"/>
      <c r="G77" s="647"/>
      <c r="H77" s="642"/>
      <c r="I77" s="131"/>
      <c r="J77" s="131"/>
      <c r="K77" s="1037"/>
      <c r="L77" s="1088" t="s">
        <v>772</v>
      </c>
      <c r="M77" s="1064"/>
      <c r="N77" s="1064" t="s">
        <v>795</v>
      </c>
      <c r="O77" s="1009">
        <f>'사. 임직원보수 일람표'!G77</f>
        <v>1873000</v>
      </c>
      <c r="P77" s="1069" t="s">
        <v>744</v>
      </c>
      <c r="Q77" s="1089">
        <v>1</v>
      </c>
      <c r="R77" s="1069" t="s">
        <v>744</v>
      </c>
      <c r="S77" s="1070">
        <f>'사. 임직원보수 일람표'!E77</f>
        <v>10</v>
      </c>
      <c r="T77" s="1071" t="s">
        <v>410</v>
      </c>
      <c r="U77" s="1090">
        <f t="shared" si="2"/>
        <v>18730000</v>
      </c>
    </row>
    <row r="78" spans="1:21" ht="21.75" hidden="1" customHeight="1">
      <c r="A78" s="605"/>
      <c r="B78" s="606"/>
      <c r="C78" s="606"/>
      <c r="D78" s="607"/>
      <c r="E78" s="608"/>
      <c r="F78" s="609"/>
      <c r="G78" s="647"/>
      <c r="H78" s="642"/>
      <c r="I78" s="131"/>
      <c r="J78" s="131"/>
      <c r="K78" s="1037"/>
      <c r="L78" s="1088" t="s">
        <v>772</v>
      </c>
      <c r="M78" s="1064"/>
      <c r="N78" s="1064" t="s">
        <v>795</v>
      </c>
      <c r="O78" s="1009">
        <f>'사. 임직원보수 일람표'!G78</f>
        <v>1929000</v>
      </c>
      <c r="P78" s="1069" t="s">
        <v>744</v>
      </c>
      <c r="Q78" s="1089">
        <v>1</v>
      </c>
      <c r="R78" s="1069" t="s">
        <v>744</v>
      </c>
      <c r="S78" s="1070">
        <f>'사. 임직원보수 일람표'!E78</f>
        <v>2</v>
      </c>
      <c r="T78" s="1071" t="s">
        <v>410</v>
      </c>
      <c r="U78" s="1090">
        <f t="shared" si="2"/>
        <v>3858000</v>
      </c>
    </row>
    <row r="79" spans="1:21" ht="21.75" hidden="1" customHeight="1">
      <c r="A79" s="605"/>
      <c r="B79" s="606"/>
      <c r="C79" s="606"/>
      <c r="D79" s="607"/>
      <c r="E79" s="608"/>
      <c r="F79" s="609"/>
      <c r="G79" s="647"/>
      <c r="H79" s="642"/>
      <c r="I79" s="131"/>
      <c r="J79" s="131"/>
      <c r="K79" s="1037"/>
      <c r="L79" s="1088" t="s">
        <v>772</v>
      </c>
      <c r="M79" s="1064"/>
      <c r="N79" s="1064" t="s">
        <v>796</v>
      </c>
      <c r="O79" s="1009">
        <f>'사. 임직원보수 일람표'!G79</f>
        <v>1821000</v>
      </c>
      <c r="P79" s="1069" t="s">
        <v>744</v>
      </c>
      <c r="Q79" s="1089">
        <v>1</v>
      </c>
      <c r="R79" s="1069" t="s">
        <v>744</v>
      </c>
      <c r="S79" s="1070">
        <f>'사. 임직원보수 일람표'!E79</f>
        <v>2</v>
      </c>
      <c r="T79" s="1071" t="s">
        <v>410</v>
      </c>
      <c r="U79" s="1090">
        <f t="shared" si="2"/>
        <v>3642000</v>
      </c>
    </row>
    <row r="80" spans="1:21" ht="21.75" hidden="1" customHeight="1">
      <c r="A80" s="605"/>
      <c r="B80" s="606"/>
      <c r="C80" s="606"/>
      <c r="D80" s="607"/>
      <c r="E80" s="608"/>
      <c r="F80" s="609"/>
      <c r="G80" s="647"/>
      <c r="H80" s="642"/>
      <c r="I80" s="131"/>
      <c r="J80" s="131"/>
      <c r="K80" s="1037"/>
      <c r="L80" s="1088" t="s">
        <v>772</v>
      </c>
      <c r="M80" s="1064"/>
      <c r="N80" s="1064" t="s">
        <v>796</v>
      </c>
      <c r="O80" s="1009">
        <f>'사. 임직원보수 일람표'!G80</f>
        <v>1873000</v>
      </c>
      <c r="P80" s="1069" t="s">
        <v>744</v>
      </c>
      <c r="Q80" s="1089">
        <v>1</v>
      </c>
      <c r="R80" s="1069" t="s">
        <v>744</v>
      </c>
      <c r="S80" s="1070">
        <f>'사. 임직원보수 일람표'!E80</f>
        <v>10</v>
      </c>
      <c r="T80" s="1071" t="s">
        <v>410</v>
      </c>
      <c r="U80" s="1090">
        <f t="shared" si="2"/>
        <v>18730000</v>
      </c>
    </row>
    <row r="81" spans="1:21" ht="21.75" hidden="1" customHeight="1">
      <c r="A81" s="605"/>
      <c r="B81" s="606"/>
      <c r="C81" s="606"/>
      <c r="D81" s="607"/>
      <c r="E81" s="608"/>
      <c r="F81" s="609"/>
      <c r="G81" s="647"/>
      <c r="H81" s="642"/>
      <c r="I81" s="131"/>
      <c r="J81" s="131"/>
      <c r="K81" s="1037"/>
      <c r="L81" s="1088" t="s">
        <v>210</v>
      </c>
      <c r="M81" s="1064"/>
      <c r="N81" s="1064" t="s">
        <v>797</v>
      </c>
      <c r="O81" s="1009">
        <f>'사. 임직원보수 일람표'!G81</f>
        <v>2047000</v>
      </c>
      <c r="P81" s="1069" t="s">
        <v>744</v>
      </c>
      <c r="Q81" s="1089">
        <v>1</v>
      </c>
      <c r="R81" s="1069" t="s">
        <v>744</v>
      </c>
      <c r="S81" s="1070">
        <f>'사. 임직원보수 일람표'!E81</f>
        <v>3</v>
      </c>
      <c r="T81" s="1071" t="s">
        <v>410</v>
      </c>
      <c r="U81" s="1090">
        <f t="shared" si="2"/>
        <v>6141000</v>
      </c>
    </row>
    <row r="82" spans="1:21" ht="21.75" hidden="1" customHeight="1">
      <c r="A82" s="605"/>
      <c r="B82" s="606"/>
      <c r="C82" s="606"/>
      <c r="D82" s="607"/>
      <c r="E82" s="608"/>
      <c r="F82" s="609"/>
      <c r="G82" s="647"/>
      <c r="H82" s="642"/>
      <c r="I82" s="131"/>
      <c r="J82" s="131"/>
      <c r="K82" s="1037"/>
      <c r="L82" s="1088" t="s">
        <v>210</v>
      </c>
      <c r="M82" s="1064"/>
      <c r="N82" s="1064" t="s">
        <v>797</v>
      </c>
      <c r="O82" s="1009">
        <f>'사. 임직원보수 일람표'!G82</f>
        <v>2109000</v>
      </c>
      <c r="P82" s="1069" t="s">
        <v>744</v>
      </c>
      <c r="Q82" s="1089">
        <v>1</v>
      </c>
      <c r="R82" s="1069" t="s">
        <v>744</v>
      </c>
      <c r="S82" s="1070">
        <f>'사. 임직원보수 일람표'!E82</f>
        <v>9</v>
      </c>
      <c r="T82" s="1071" t="s">
        <v>410</v>
      </c>
      <c r="U82" s="1090">
        <f t="shared" si="2"/>
        <v>18981000</v>
      </c>
    </row>
    <row r="83" spans="1:21" ht="21.75" hidden="1" customHeight="1">
      <c r="A83" s="605"/>
      <c r="B83" s="606"/>
      <c r="C83" s="606"/>
      <c r="D83" s="607"/>
      <c r="E83" s="608"/>
      <c r="F83" s="609"/>
      <c r="G83" s="647"/>
      <c r="H83" s="642"/>
      <c r="I83" s="131"/>
      <c r="J83" s="131"/>
      <c r="K83" s="1037"/>
      <c r="L83" s="1088" t="s">
        <v>210</v>
      </c>
      <c r="M83" s="1064"/>
      <c r="N83" s="1064" t="s">
        <v>798</v>
      </c>
      <c r="O83" s="1009">
        <f>'사. 임직원보수 일람표'!G83</f>
        <v>1821000</v>
      </c>
      <c r="P83" s="1069" t="s">
        <v>744</v>
      </c>
      <c r="Q83" s="1089">
        <v>1</v>
      </c>
      <c r="R83" s="1069" t="s">
        <v>744</v>
      </c>
      <c r="S83" s="1070">
        <f>'사. 임직원보수 일람표'!E83</f>
        <v>4</v>
      </c>
      <c r="T83" s="1071" t="s">
        <v>410</v>
      </c>
      <c r="U83" s="1090">
        <f t="shared" si="2"/>
        <v>7284000</v>
      </c>
    </row>
    <row r="84" spans="1:21" ht="21.75" hidden="1" customHeight="1">
      <c r="A84" s="605"/>
      <c r="B84" s="606"/>
      <c r="C84" s="606"/>
      <c r="D84" s="607"/>
      <c r="E84" s="608"/>
      <c r="F84" s="609"/>
      <c r="G84" s="647"/>
      <c r="H84" s="642"/>
      <c r="I84" s="131"/>
      <c r="J84" s="131"/>
      <c r="K84" s="1037"/>
      <c r="L84" s="1088" t="s">
        <v>210</v>
      </c>
      <c r="M84" s="1064"/>
      <c r="N84" s="1064" t="s">
        <v>799</v>
      </c>
      <c r="O84" s="1009">
        <f>'사. 임직원보수 일람표'!G85</f>
        <v>1873000</v>
      </c>
      <c r="P84" s="1069" t="s">
        <v>744</v>
      </c>
      <c r="Q84" s="1089">
        <v>1</v>
      </c>
      <c r="R84" s="1069" t="s">
        <v>744</v>
      </c>
      <c r="S84" s="1070">
        <f>'사. 임직원보수 일람표'!E85</f>
        <v>1</v>
      </c>
      <c r="T84" s="1071" t="s">
        <v>410</v>
      </c>
      <c r="U84" s="1090">
        <f t="shared" si="2"/>
        <v>1873000</v>
      </c>
    </row>
    <row r="85" spans="1:21" ht="21.75" hidden="1" customHeight="1">
      <c r="A85" s="605"/>
      <c r="B85" s="606"/>
      <c r="C85" s="606"/>
      <c r="D85" s="607"/>
      <c r="E85" s="608"/>
      <c r="F85" s="609"/>
      <c r="G85" s="647"/>
      <c r="H85" s="642"/>
      <c r="I85" s="131"/>
      <c r="J85" s="131"/>
      <c r="K85" s="1037"/>
      <c r="L85" s="1088" t="s">
        <v>210</v>
      </c>
      <c r="M85" s="1064"/>
      <c r="N85" s="1064" t="s">
        <v>799</v>
      </c>
      <c r="O85" s="1009">
        <f>'사. 임직원보수 일람표'!G86</f>
        <v>1929000</v>
      </c>
      <c r="P85" s="1069" t="s">
        <v>744</v>
      </c>
      <c r="Q85" s="1089">
        <v>1</v>
      </c>
      <c r="R85" s="1069" t="s">
        <v>744</v>
      </c>
      <c r="S85" s="1070">
        <f>'사. 임직원보수 일람표'!E86</f>
        <v>11</v>
      </c>
      <c r="T85" s="1071" t="s">
        <v>410</v>
      </c>
      <c r="U85" s="1090">
        <f t="shared" si="2"/>
        <v>21219000</v>
      </c>
    </row>
    <row r="86" spans="1:21" ht="21.75" hidden="1" customHeight="1">
      <c r="A86" s="605"/>
      <c r="B86" s="606"/>
      <c r="C86" s="606"/>
      <c r="D86" s="607"/>
      <c r="E86" s="608"/>
      <c r="F86" s="609"/>
      <c r="G86" s="647"/>
      <c r="H86" s="642"/>
      <c r="I86" s="131"/>
      <c r="J86" s="131"/>
      <c r="K86" s="1037"/>
      <c r="L86" s="1088" t="s">
        <v>210</v>
      </c>
      <c r="M86" s="1064"/>
      <c r="N86" s="1064" t="s">
        <v>800</v>
      </c>
      <c r="O86" s="1009">
        <f>'사. 임직원보수 일람표'!G88</f>
        <v>1987000</v>
      </c>
      <c r="P86" s="1069" t="s">
        <v>744</v>
      </c>
      <c r="Q86" s="1089">
        <v>1</v>
      </c>
      <c r="R86" s="1069" t="s">
        <v>744</v>
      </c>
      <c r="S86" s="1070">
        <f>'사. 임직원보수 일람표'!E88</f>
        <v>11</v>
      </c>
      <c r="T86" s="1071" t="s">
        <v>410</v>
      </c>
      <c r="U86" s="1090">
        <f t="shared" si="2"/>
        <v>21857000</v>
      </c>
    </row>
    <row r="87" spans="1:21" ht="21.75" hidden="1" customHeight="1">
      <c r="A87" s="605"/>
      <c r="B87" s="606"/>
      <c r="C87" s="606"/>
      <c r="D87" s="607"/>
      <c r="E87" s="608"/>
      <c r="F87" s="609"/>
      <c r="G87" s="647"/>
      <c r="H87" s="642"/>
      <c r="I87" s="131"/>
      <c r="J87" s="131"/>
      <c r="K87" s="1037"/>
      <c r="L87" s="1088" t="s">
        <v>210</v>
      </c>
      <c r="M87" s="1064"/>
      <c r="N87" s="1064" t="s">
        <v>801</v>
      </c>
      <c r="O87" s="1009">
        <f>'사. 임직원보수 일람표'!G90</f>
        <v>2175000</v>
      </c>
      <c r="P87" s="1069" t="s">
        <v>744</v>
      </c>
      <c r="Q87" s="1089">
        <v>1</v>
      </c>
      <c r="R87" s="1069" t="s">
        <v>744</v>
      </c>
      <c r="S87" s="1070">
        <f>'사. 임직원보수 일람표'!E90</f>
        <v>9</v>
      </c>
      <c r="T87" s="1071" t="s">
        <v>410</v>
      </c>
      <c r="U87" s="1090">
        <f t="shared" si="2"/>
        <v>19575000</v>
      </c>
    </row>
    <row r="88" spans="1:21" ht="21.75" hidden="1" customHeight="1">
      <c r="A88" s="605"/>
      <c r="B88" s="606"/>
      <c r="C88" s="606"/>
      <c r="D88" s="607"/>
      <c r="E88" s="608"/>
      <c r="F88" s="609"/>
      <c r="G88" s="647"/>
      <c r="H88" s="642"/>
      <c r="I88" s="131"/>
      <c r="J88" s="131"/>
      <c r="K88" s="1037"/>
      <c r="L88" s="1088" t="s">
        <v>210</v>
      </c>
      <c r="M88" s="1064"/>
      <c r="N88" s="1064" t="s">
        <v>802</v>
      </c>
      <c r="O88" s="1009">
        <f>'사. 임직원보수 일람표'!G91</f>
        <v>2109000</v>
      </c>
      <c r="P88" s="1069" t="s">
        <v>744</v>
      </c>
      <c r="Q88" s="1089">
        <v>1</v>
      </c>
      <c r="R88" s="1069" t="s">
        <v>744</v>
      </c>
      <c r="S88" s="1070">
        <f>'사. 임직원보수 일람표'!E91</f>
        <v>2</v>
      </c>
      <c r="T88" s="1071" t="s">
        <v>410</v>
      </c>
      <c r="U88" s="1090">
        <f t="shared" si="2"/>
        <v>4218000</v>
      </c>
    </row>
    <row r="89" spans="1:21" ht="21.75" hidden="1" customHeight="1">
      <c r="A89" s="605"/>
      <c r="B89" s="606"/>
      <c r="C89" s="606"/>
      <c r="D89" s="607"/>
      <c r="E89" s="608"/>
      <c r="F89" s="609"/>
      <c r="G89" s="647"/>
      <c r="H89" s="642"/>
      <c r="I89" s="131"/>
      <c r="J89" s="131"/>
      <c r="K89" s="1037"/>
      <c r="L89" s="1088" t="s">
        <v>210</v>
      </c>
      <c r="M89" s="1064"/>
      <c r="N89" s="1064" t="s">
        <v>802</v>
      </c>
      <c r="O89" s="1009">
        <f>'사. 임직원보수 일람표'!G92</f>
        <v>2175000</v>
      </c>
      <c r="P89" s="1069" t="s">
        <v>744</v>
      </c>
      <c r="Q89" s="1089">
        <v>1</v>
      </c>
      <c r="R89" s="1069" t="s">
        <v>744</v>
      </c>
      <c r="S89" s="1070">
        <f>'사. 임직원보수 일람표'!E92</f>
        <v>7</v>
      </c>
      <c r="T89" s="1071" t="s">
        <v>410</v>
      </c>
      <c r="U89" s="1090">
        <f t="shared" si="2"/>
        <v>15225000</v>
      </c>
    </row>
    <row r="90" spans="1:21" ht="21.75" hidden="1" customHeight="1">
      <c r="A90" s="605"/>
      <c r="B90" s="606"/>
      <c r="C90" s="606"/>
      <c r="D90" s="607"/>
      <c r="E90" s="608"/>
      <c r="F90" s="609"/>
      <c r="G90" s="647"/>
      <c r="H90" s="642"/>
      <c r="I90" s="131"/>
      <c r="J90" s="131"/>
      <c r="K90" s="1037"/>
      <c r="L90" s="1088" t="s">
        <v>210</v>
      </c>
      <c r="M90" s="1064"/>
      <c r="N90" s="1064" t="s">
        <v>803</v>
      </c>
      <c r="O90" s="1009">
        <f>'사. 임직원보수 일람표'!G93</f>
        <v>1987000</v>
      </c>
      <c r="P90" s="1069" t="s">
        <v>744</v>
      </c>
      <c r="Q90" s="1089">
        <v>1</v>
      </c>
      <c r="R90" s="1069" t="s">
        <v>744</v>
      </c>
      <c r="S90" s="1070">
        <f>'사. 임직원보수 일람표'!E93</f>
        <v>4</v>
      </c>
      <c r="T90" s="1071" t="s">
        <v>410</v>
      </c>
      <c r="U90" s="1090">
        <f t="shared" si="2"/>
        <v>7948000</v>
      </c>
    </row>
    <row r="91" spans="1:21" ht="21.75" hidden="1" customHeight="1">
      <c r="A91" s="605"/>
      <c r="B91" s="606"/>
      <c r="C91" s="606"/>
      <c r="D91" s="607"/>
      <c r="E91" s="608"/>
      <c r="F91" s="609"/>
      <c r="G91" s="647"/>
      <c r="H91" s="642"/>
      <c r="I91" s="131"/>
      <c r="J91" s="131"/>
      <c r="K91" s="1037"/>
      <c r="L91" s="1088" t="s">
        <v>210</v>
      </c>
      <c r="M91" s="1064"/>
      <c r="N91" s="1064" t="s">
        <v>803</v>
      </c>
      <c r="O91" s="1009">
        <f>'사. 임직원보수 일람표'!G94</f>
        <v>2047000</v>
      </c>
      <c r="P91" s="1069" t="s">
        <v>744</v>
      </c>
      <c r="Q91" s="1089">
        <v>1</v>
      </c>
      <c r="R91" s="1069" t="s">
        <v>744</v>
      </c>
      <c r="S91" s="1070">
        <f>'사. 임직원보수 일람표'!E94</f>
        <v>5</v>
      </c>
      <c r="T91" s="1071" t="s">
        <v>410</v>
      </c>
      <c r="U91" s="1090">
        <f t="shared" si="2"/>
        <v>10235000</v>
      </c>
    </row>
    <row r="92" spans="1:21" ht="21.75" hidden="1" customHeight="1">
      <c r="A92" s="605"/>
      <c r="B92" s="606"/>
      <c r="C92" s="606"/>
      <c r="D92" s="607"/>
      <c r="E92" s="608"/>
      <c r="F92" s="609"/>
      <c r="G92" s="647"/>
      <c r="H92" s="642"/>
      <c r="I92" s="131"/>
      <c r="J92" s="131"/>
      <c r="K92" s="1037"/>
      <c r="L92" s="1088" t="s">
        <v>210</v>
      </c>
      <c r="M92" s="1064"/>
      <c r="N92" s="1064" t="s">
        <v>804</v>
      </c>
      <c r="O92" s="1009">
        <f>'사. 임직원보수 일람표'!G96</f>
        <v>2047000</v>
      </c>
      <c r="P92" s="1069" t="s">
        <v>744</v>
      </c>
      <c r="Q92" s="1089">
        <v>1</v>
      </c>
      <c r="R92" s="1069" t="s">
        <v>744</v>
      </c>
      <c r="S92" s="1070">
        <f>'사. 임직원보수 일람표'!E96</f>
        <v>8</v>
      </c>
      <c r="T92" s="1071" t="s">
        <v>410</v>
      </c>
      <c r="U92" s="1090">
        <f t="shared" si="2"/>
        <v>16376000</v>
      </c>
    </row>
    <row r="93" spans="1:21" ht="21.75" hidden="1" customHeight="1">
      <c r="A93" s="605"/>
      <c r="B93" s="606"/>
      <c r="C93" s="606"/>
      <c r="D93" s="607"/>
      <c r="E93" s="608"/>
      <c r="F93" s="609"/>
      <c r="G93" s="647"/>
      <c r="H93" s="642"/>
      <c r="I93" s="131"/>
      <c r="J93" s="131"/>
      <c r="K93" s="1037"/>
      <c r="L93" s="1088" t="s">
        <v>210</v>
      </c>
      <c r="M93" s="1064"/>
      <c r="N93" s="1064" t="s">
        <v>805</v>
      </c>
      <c r="O93" s="1009">
        <f>'사. 임직원보수 일람표'!G97</f>
        <v>2175000</v>
      </c>
      <c r="P93" s="1069" t="s">
        <v>744</v>
      </c>
      <c r="Q93" s="1089">
        <v>1</v>
      </c>
      <c r="R93" s="1069" t="s">
        <v>744</v>
      </c>
      <c r="S93" s="1070">
        <f>'사. 임직원보수 일람표'!E97</f>
        <v>5</v>
      </c>
      <c r="T93" s="1071" t="s">
        <v>410</v>
      </c>
      <c r="U93" s="1090">
        <f t="shared" si="2"/>
        <v>10875000</v>
      </c>
    </row>
    <row r="94" spans="1:21" ht="21.75" hidden="1" customHeight="1">
      <c r="A94" s="605"/>
      <c r="B94" s="606"/>
      <c r="C94" s="606"/>
      <c r="D94" s="607"/>
      <c r="E94" s="608"/>
      <c r="F94" s="609"/>
      <c r="G94" s="647"/>
      <c r="H94" s="642"/>
      <c r="I94" s="131"/>
      <c r="J94" s="131"/>
      <c r="K94" s="1037"/>
      <c r="L94" s="1088" t="s">
        <v>210</v>
      </c>
      <c r="M94" s="1064"/>
      <c r="N94" s="1064" t="s">
        <v>805</v>
      </c>
      <c r="O94" s="1009">
        <f>'사. 임직원보수 일람표'!G98</f>
        <v>2241000</v>
      </c>
      <c r="P94" s="1069" t="s">
        <v>744</v>
      </c>
      <c r="Q94" s="1089">
        <v>1</v>
      </c>
      <c r="R94" s="1069" t="s">
        <v>744</v>
      </c>
      <c r="S94" s="1070">
        <f>'사. 임직원보수 일람표'!E98</f>
        <v>3</v>
      </c>
      <c r="T94" s="1071" t="s">
        <v>410</v>
      </c>
      <c r="U94" s="1090">
        <f t="shared" si="2"/>
        <v>6723000</v>
      </c>
    </row>
    <row r="95" spans="1:21" ht="21.75" hidden="1" customHeight="1">
      <c r="A95" s="605"/>
      <c r="B95" s="606"/>
      <c r="C95" s="606"/>
      <c r="D95" s="607"/>
      <c r="E95" s="608"/>
      <c r="F95" s="609"/>
      <c r="G95" s="647"/>
      <c r="H95" s="642"/>
      <c r="I95" s="131"/>
      <c r="J95" s="131"/>
      <c r="K95" s="1037"/>
      <c r="L95" s="1088" t="s">
        <v>210</v>
      </c>
      <c r="M95" s="1064"/>
      <c r="N95" s="1064" t="s">
        <v>806</v>
      </c>
      <c r="O95" s="1009">
        <f>'사. 임직원보수 일람표'!G99</f>
        <v>1929000</v>
      </c>
      <c r="P95" s="1069" t="s">
        <v>744</v>
      </c>
      <c r="Q95" s="1089">
        <v>1</v>
      </c>
      <c r="R95" s="1069" t="s">
        <v>744</v>
      </c>
      <c r="S95" s="1070">
        <f>'사. 임직원보수 일람표'!E99</f>
        <v>6</v>
      </c>
      <c r="T95" s="1071" t="s">
        <v>410</v>
      </c>
      <c r="U95" s="1090">
        <f t="shared" si="2"/>
        <v>11574000</v>
      </c>
    </row>
    <row r="96" spans="1:21" ht="21.75" hidden="1" customHeight="1">
      <c r="A96" s="605"/>
      <c r="B96" s="606"/>
      <c r="C96" s="606"/>
      <c r="D96" s="607"/>
      <c r="E96" s="608"/>
      <c r="F96" s="609"/>
      <c r="G96" s="647"/>
      <c r="H96" s="642"/>
      <c r="I96" s="131"/>
      <c r="J96" s="131"/>
      <c r="K96" s="1037"/>
      <c r="L96" s="1088" t="s">
        <v>210</v>
      </c>
      <c r="M96" s="1064"/>
      <c r="N96" s="1064" t="s">
        <v>807</v>
      </c>
      <c r="O96" s="1009">
        <f>'사. 임직원보수 일람표'!G101</f>
        <v>2175000</v>
      </c>
      <c r="P96" s="1069" t="s">
        <v>744</v>
      </c>
      <c r="Q96" s="1089">
        <v>1</v>
      </c>
      <c r="R96" s="1069" t="s">
        <v>744</v>
      </c>
      <c r="S96" s="1070">
        <f>'사. 임직원보수 일람표'!E101</f>
        <v>5</v>
      </c>
      <c r="T96" s="1071" t="s">
        <v>410</v>
      </c>
      <c r="U96" s="1090">
        <f t="shared" si="2"/>
        <v>10875000</v>
      </c>
    </row>
    <row r="97" spans="1:21" ht="21.75" hidden="1" customHeight="1">
      <c r="A97" s="605"/>
      <c r="B97" s="606"/>
      <c r="C97" s="606"/>
      <c r="D97" s="607"/>
      <c r="E97" s="608"/>
      <c r="F97" s="609"/>
      <c r="G97" s="647"/>
      <c r="H97" s="642"/>
      <c r="I97" s="131"/>
      <c r="J97" s="131"/>
      <c r="K97" s="1037"/>
      <c r="L97" s="1088" t="s">
        <v>210</v>
      </c>
      <c r="M97" s="1064"/>
      <c r="N97" s="1064" t="s">
        <v>808</v>
      </c>
      <c r="O97" s="1009">
        <f>'사. 임직원보수 일람표'!G103</f>
        <v>2493000</v>
      </c>
      <c r="P97" s="1069" t="s">
        <v>744</v>
      </c>
      <c r="Q97" s="1089">
        <v>1</v>
      </c>
      <c r="R97" s="1069" t="s">
        <v>744</v>
      </c>
      <c r="S97" s="1070">
        <f>'사. 임직원보수 일람표'!E103</f>
        <v>2</v>
      </c>
      <c r="T97" s="1071" t="s">
        <v>410</v>
      </c>
      <c r="U97" s="1090">
        <f t="shared" si="2"/>
        <v>4986000</v>
      </c>
    </row>
    <row r="98" spans="1:21" ht="21.75" hidden="1" customHeight="1">
      <c r="A98" s="605"/>
      <c r="B98" s="606"/>
      <c r="C98" s="606"/>
      <c r="D98" s="607"/>
      <c r="E98" s="608"/>
      <c r="F98" s="609"/>
      <c r="G98" s="647"/>
      <c r="H98" s="642"/>
      <c r="I98" s="131"/>
      <c r="J98" s="131"/>
      <c r="K98" s="1037"/>
      <c r="L98" s="1088" t="s">
        <v>210</v>
      </c>
      <c r="M98" s="1064"/>
      <c r="N98" s="1064" t="s">
        <v>809</v>
      </c>
      <c r="O98" s="1009">
        <f>'사. 임직원보수 일람표'!G105</f>
        <v>2684000</v>
      </c>
      <c r="P98" s="1069" t="s">
        <v>744</v>
      </c>
      <c r="Q98" s="1089">
        <v>1</v>
      </c>
      <c r="R98" s="1069" t="s">
        <v>744</v>
      </c>
      <c r="S98" s="1070">
        <f>'사. 임직원보수 일람표'!E105</f>
        <v>1</v>
      </c>
      <c r="T98" s="1071" t="s">
        <v>410</v>
      </c>
      <c r="U98" s="1090">
        <f t="shared" si="2"/>
        <v>2684000</v>
      </c>
    </row>
    <row r="99" spans="1:21" ht="21.75" hidden="1" customHeight="1">
      <c r="A99" s="605"/>
      <c r="B99" s="606"/>
      <c r="C99" s="606"/>
      <c r="D99" s="607"/>
      <c r="E99" s="608"/>
      <c r="F99" s="609"/>
      <c r="G99" s="647"/>
      <c r="H99" s="642"/>
      <c r="I99" s="131"/>
      <c r="J99" s="131"/>
      <c r="K99" s="1037"/>
      <c r="L99" s="1088" t="s">
        <v>210</v>
      </c>
      <c r="M99" s="1064"/>
      <c r="N99" s="1064" t="s">
        <v>810</v>
      </c>
      <c r="O99" s="1009">
        <f>'사. 임직원보수 일람표'!G107</f>
        <v>2175000</v>
      </c>
      <c r="P99" s="1069" t="s">
        <v>744</v>
      </c>
      <c r="Q99" s="1089">
        <v>1</v>
      </c>
      <c r="R99" s="1069" t="s">
        <v>744</v>
      </c>
      <c r="S99" s="1070">
        <f>'사. 임직원보수 일람표'!E107</f>
        <v>2</v>
      </c>
      <c r="T99" s="1071" t="s">
        <v>410</v>
      </c>
      <c r="U99" s="1090">
        <f t="shared" si="2"/>
        <v>4350000</v>
      </c>
    </row>
    <row r="100" spans="1:21" ht="21.75" hidden="1" customHeight="1">
      <c r="A100" s="605"/>
      <c r="B100" s="606"/>
      <c r="C100" s="606"/>
      <c r="D100" s="607"/>
      <c r="E100" s="608"/>
      <c r="F100" s="609"/>
      <c r="G100" s="647"/>
      <c r="H100" s="642"/>
      <c r="I100" s="131"/>
      <c r="J100" s="131"/>
      <c r="K100" s="1037"/>
      <c r="L100" s="1088" t="s">
        <v>210</v>
      </c>
      <c r="M100" s="1064"/>
      <c r="N100" s="1064" t="s">
        <v>811</v>
      </c>
      <c r="O100" s="1009">
        <f>'사. 임직원보수 일람표'!G109</f>
        <v>1873000</v>
      </c>
      <c r="P100" s="1069" t="s">
        <v>744</v>
      </c>
      <c r="Q100" s="1089">
        <v>1</v>
      </c>
      <c r="R100" s="1069" t="s">
        <v>744</v>
      </c>
      <c r="S100" s="1070">
        <f>'사. 임직원보수 일람표'!E109</f>
        <v>1</v>
      </c>
      <c r="T100" s="1071" t="s">
        <v>410</v>
      </c>
      <c r="U100" s="1090">
        <f t="shared" si="2"/>
        <v>1873000</v>
      </c>
    </row>
    <row r="101" spans="1:21" ht="21.75" hidden="1" customHeight="1">
      <c r="A101" s="605"/>
      <c r="B101" s="606"/>
      <c r="C101" s="606"/>
      <c r="D101" s="607"/>
      <c r="E101" s="608"/>
      <c r="F101" s="609"/>
      <c r="G101" s="647"/>
      <c r="H101" s="642"/>
      <c r="I101" s="131"/>
      <c r="J101" s="131"/>
      <c r="K101" s="1037"/>
      <c r="L101" s="1088" t="s">
        <v>251</v>
      </c>
      <c r="M101" s="1064"/>
      <c r="N101" s="1064" t="s">
        <v>812</v>
      </c>
      <c r="O101" s="1009">
        <f>'사. 임직원보수 일람표'!G111</f>
        <v>2259000</v>
      </c>
      <c r="P101" s="1069" t="s">
        <v>744</v>
      </c>
      <c r="Q101" s="1089">
        <v>1</v>
      </c>
      <c r="R101" s="1069" t="s">
        <v>744</v>
      </c>
      <c r="S101" s="1070">
        <f>'사. 임직원보수 일람표'!E111</f>
        <v>8</v>
      </c>
      <c r="T101" s="1071" t="s">
        <v>410</v>
      </c>
      <c r="U101" s="1090">
        <f t="shared" si="2"/>
        <v>18072000</v>
      </c>
    </row>
    <row r="102" spans="1:21" ht="21.75" hidden="1" customHeight="1">
      <c r="A102" s="605"/>
      <c r="B102" s="606"/>
      <c r="C102" s="606"/>
      <c r="D102" s="607"/>
      <c r="E102" s="608"/>
      <c r="F102" s="609"/>
      <c r="G102" s="647"/>
      <c r="H102" s="642"/>
      <c r="I102" s="131"/>
      <c r="J102" s="131"/>
      <c r="K102" s="1037"/>
      <c r="L102" s="1088" t="s">
        <v>251</v>
      </c>
      <c r="M102" s="1064"/>
      <c r="N102" s="1064" t="s">
        <v>812</v>
      </c>
      <c r="O102" s="1009">
        <f>'사. 임직원보수 일람표'!G112</f>
        <v>2306000</v>
      </c>
      <c r="P102" s="1069" t="s">
        <v>744</v>
      </c>
      <c r="Q102" s="1089">
        <v>1</v>
      </c>
      <c r="R102" s="1069" t="s">
        <v>744</v>
      </c>
      <c r="S102" s="1070">
        <f>'사. 임직원보수 일람표'!E112</f>
        <v>4</v>
      </c>
      <c r="T102" s="1071" t="s">
        <v>410</v>
      </c>
      <c r="U102" s="1090">
        <f t="shared" si="2"/>
        <v>9224000</v>
      </c>
    </row>
    <row r="103" spans="1:21" ht="21.75" hidden="1" customHeight="1">
      <c r="A103" s="605"/>
      <c r="B103" s="606"/>
      <c r="C103" s="606"/>
      <c r="D103" s="607"/>
      <c r="E103" s="608"/>
      <c r="F103" s="609"/>
      <c r="G103" s="647"/>
      <c r="H103" s="642"/>
      <c r="I103" s="131"/>
      <c r="J103" s="131"/>
      <c r="K103" s="1037"/>
      <c r="L103" s="1088" t="s">
        <v>252</v>
      </c>
      <c r="M103" s="1064"/>
      <c r="N103" s="1064" t="s">
        <v>813</v>
      </c>
      <c r="O103" s="1009">
        <f>'사. 임직원보수 일람표'!G113</f>
        <v>1796000</v>
      </c>
      <c r="P103" s="1069" t="s">
        <v>744</v>
      </c>
      <c r="Q103" s="1089">
        <v>1</v>
      </c>
      <c r="R103" s="1069" t="s">
        <v>744</v>
      </c>
      <c r="S103" s="1070">
        <f>'사. 임직원보수 일람표'!E113</f>
        <v>12</v>
      </c>
      <c r="T103" s="1071" t="s">
        <v>410</v>
      </c>
      <c r="U103" s="1090">
        <f t="shared" si="2"/>
        <v>21552000</v>
      </c>
    </row>
    <row r="104" spans="1:21" ht="21.75" hidden="1" customHeight="1">
      <c r="A104" s="605"/>
      <c r="B104" s="606"/>
      <c r="C104" s="606"/>
      <c r="D104" s="607"/>
      <c r="E104" s="608"/>
      <c r="F104" s="609"/>
      <c r="G104" s="647"/>
      <c r="H104" s="642"/>
      <c r="I104" s="131"/>
      <c r="J104" s="131"/>
      <c r="K104" s="1037"/>
      <c r="L104" s="1088" t="s">
        <v>252</v>
      </c>
      <c r="M104" s="1064"/>
      <c r="N104" s="1064" t="s">
        <v>814</v>
      </c>
      <c r="O104" s="1009">
        <f>'사. 임직원보수 일람표'!G115</f>
        <v>2049000</v>
      </c>
      <c r="P104" s="1069" t="s">
        <v>744</v>
      </c>
      <c r="Q104" s="1089">
        <v>1</v>
      </c>
      <c r="R104" s="1069" t="s">
        <v>744</v>
      </c>
      <c r="S104" s="1070">
        <f>'사. 임직원보수 일람표'!E115</f>
        <v>2</v>
      </c>
      <c r="T104" s="1071" t="s">
        <v>410</v>
      </c>
      <c r="U104" s="1090">
        <f t="shared" si="2"/>
        <v>4098000</v>
      </c>
    </row>
    <row r="105" spans="1:21" ht="21.75" hidden="1" customHeight="1">
      <c r="A105" s="605"/>
      <c r="B105" s="606"/>
      <c r="C105" s="606"/>
      <c r="D105" s="607"/>
      <c r="E105" s="608"/>
      <c r="F105" s="609"/>
      <c r="G105" s="647"/>
      <c r="H105" s="642"/>
      <c r="I105" s="131"/>
      <c r="J105" s="131"/>
      <c r="K105" s="1037"/>
      <c r="L105" s="1088" t="s">
        <v>252</v>
      </c>
      <c r="M105" s="1064"/>
      <c r="N105" s="1064" t="s">
        <v>814</v>
      </c>
      <c r="O105" s="1009">
        <f>'사. 임직원보수 일람표'!G116</f>
        <v>2091000</v>
      </c>
      <c r="P105" s="1069" t="s">
        <v>744</v>
      </c>
      <c r="Q105" s="1089">
        <v>1</v>
      </c>
      <c r="R105" s="1069" t="s">
        <v>744</v>
      </c>
      <c r="S105" s="1070">
        <f>'사. 임직원보수 일람표'!E116</f>
        <v>10</v>
      </c>
      <c r="T105" s="1071" t="s">
        <v>410</v>
      </c>
      <c r="U105" s="1090">
        <f t="shared" si="2"/>
        <v>20910000</v>
      </c>
    </row>
    <row r="106" spans="1:21" ht="21.75" hidden="1" customHeight="1">
      <c r="A106" s="605"/>
      <c r="B106" s="606"/>
      <c r="C106" s="606"/>
      <c r="D106" s="607"/>
      <c r="E106" s="608"/>
      <c r="F106" s="609"/>
      <c r="G106" s="647"/>
      <c r="H106" s="642"/>
      <c r="I106" s="131"/>
      <c r="J106" s="131"/>
      <c r="K106" s="1037"/>
      <c r="L106" s="1088" t="s">
        <v>252</v>
      </c>
      <c r="M106" s="1064"/>
      <c r="N106" s="1064" t="s">
        <v>815</v>
      </c>
      <c r="O106" s="1009">
        <f>'사. 임직원보수 일람표'!G117</f>
        <v>1796000</v>
      </c>
      <c r="P106" s="1069" t="s">
        <v>744</v>
      </c>
      <c r="Q106" s="1089">
        <v>1</v>
      </c>
      <c r="R106" s="1069" t="s">
        <v>744</v>
      </c>
      <c r="S106" s="1070">
        <f>'사. 임직원보수 일람표'!E117</f>
        <v>6</v>
      </c>
      <c r="T106" s="1071" t="s">
        <v>410</v>
      </c>
      <c r="U106" s="1090">
        <f t="shared" ref="U106:U132" si="3">O106*Q106*S106</f>
        <v>10776000</v>
      </c>
    </row>
    <row r="107" spans="1:21" ht="21.75" hidden="1" customHeight="1">
      <c r="A107" s="605"/>
      <c r="B107" s="606"/>
      <c r="C107" s="606"/>
      <c r="D107" s="607"/>
      <c r="E107" s="608"/>
      <c r="F107" s="609"/>
      <c r="G107" s="647"/>
      <c r="H107" s="642"/>
      <c r="I107" s="131"/>
      <c r="J107" s="131"/>
      <c r="K107" s="1037"/>
      <c r="L107" s="1088" t="s">
        <v>252</v>
      </c>
      <c r="M107" s="1064"/>
      <c r="N107" s="1064" t="s">
        <v>816</v>
      </c>
      <c r="O107" s="1009">
        <f>'사. 임직원보수 일람표'!G119</f>
        <v>1967000</v>
      </c>
      <c r="P107" s="1069" t="s">
        <v>744</v>
      </c>
      <c r="Q107" s="1089">
        <v>1</v>
      </c>
      <c r="R107" s="1069" t="s">
        <v>744</v>
      </c>
      <c r="S107" s="1070">
        <f>'사. 임직원보수 일람표'!E119</f>
        <v>6</v>
      </c>
      <c r="T107" s="1071" t="s">
        <v>410</v>
      </c>
      <c r="U107" s="1090">
        <f t="shared" si="3"/>
        <v>11802000</v>
      </c>
    </row>
    <row r="108" spans="1:21" ht="21.75" hidden="1" customHeight="1">
      <c r="A108" s="605"/>
      <c r="B108" s="606"/>
      <c r="C108" s="606"/>
      <c r="D108" s="607"/>
      <c r="E108" s="608"/>
      <c r="F108" s="609"/>
      <c r="G108" s="647"/>
      <c r="H108" s="642"/>
      <c r="I108" s="131"/>
      <c r="J108" s="131"/>
      <c r="K108" s="1037"/>
      <c r="L108" s="1088" t="s">
        <v>256</v>
      </c>
      <c r="M108" s="1064"/>
      <c r="N108" s="1064" t="s">
        <v>817</v>
      </c>
      <c r="O108" s="1009">
        <f>'사. 임직원보수 일람표'!G121</f>
        <v>2536000</v>
      </c>
      <c r="P108" s="1069" t="s">
        <v>744</v>
      </c>
      <c r="Q108" s="1089">
        <v>1</v>
      </c>
      <c r="R108" s="1069" t="s">
        <v>744</v>
      </c>
      <c r="S108" s="1070">
        <f>'사. 임직원보수 일람표'!E121</f>
        <v>12</v>
      </c>
      <c r="T108" s="1071" t="s">
        <v>410</v>
      </c>
      <c r="U108" s="1090">
        <f t="shared" si="3"/>
        <v>30432000</v>
      </c>
    </row>
    <row r="109" spans="1:21" ht="21.75" hidden="1" customHeight="1">
      <c r="A109" s="605"/>
      <c r="B109" s="606"/>
      <c r="C109" s="606"/>
      <c r="D109" s="607"/>
      <c r="E109" s="608"/>
      <c r="F109" s="609"/>
      <c r="G109" s="647"/>
      <c r="H109" s="642"/>
      <c r="I109" s="131"/>
      <c r="J109" s="131"/>
      <c r="K109" s="1037"/>
      <c r="L109" s="1088" t="s">
        <v>210</v>
      </c>
      <c r="M109" s="1075" t="s">
        <v>894</v>
      </c>
      <c r="N109" s="1064" t="s">
        <v>819</v>
      </c>
      <c r="O109" s="1009">
        <f>'사. 임직원보수 일람표'!H130</f>
        <v>2175000</v>
      </c>
      <c r="P109" s="1069" t="s">
        <v>744</v>
      </c>
      <c r="Q109" s="1089">
        <v>1</v>
      </c>
      <c r="R109" s="1069" t="s">
        <v>744</v>
      </c>
      <c r="S109" s="1070">
        <f>'사. 임직원보수 일람표'!E130</f>
        <v>1</v>
      </c>
      <c r="T109" s="1071" t="s">
        <v>410</v>
      </c>
      <c r="U109" s="1090">
        <f t="shared" si="3"/>
        <v>2175000</v>
      </c>
    </row>
    <row r="110" spans="1:21" ht="21.75" hidden="1" customHeight="1">
      <c r="A110" s="605"/>
      <c r="B110" s="606"/>
      <c r="C110" s="606"/>
      <c r="D110" s="607"/>
      <c r="E110" s="608"/>
      <c r="F110" s="609"/>
      <c r="G110" s="647"/>
      <c r="H110" s="642"/>
      <c r="I110" s="131"/>
      <c r="J110" s="131"/>
      <c r="K110" s="1037"/>
      <c r="L110" s="1088" t="s">
        <v>210</v>
      </c>
      <c r="M110" s="1075" t="s">
        <v>894</v>
      </c>
      <c r="N110" s="1064" t="s">
        <v>819</v>
      </c>
      <c r="O110" s="1009">
        <f>'사. 임직원보수 일람표'!G131</f>
        <v>2241000</v>
      </c>
      <c r="P110" s="1069" t="s">
        <v>744</v>
      </c>
      <c r="Q110" s="1089">
        <v>1</v>
      </c>
      <c r="R110" s="1069" t="s">
        <v>744</v>
      </c>
      <c r="S110" s="1070">
        <f>'사. 임직원보수 일람표'!E131</f>
        <v>11</v>
      </c>
      <c r="T110" s="1071" t="s">
        <v>410</v>
      </c>
      <c r="U110" s="1090">
        <f t="shared" si="3"/>
        <v>24651000</v>
      </c>
    </row>
    <row r="111" spans="1:21" ht="21.75" hidden="1" customHeight="1">
      <c r="A111" s="605"/>
      <c r="B111" s="606"/>
      <c r="C111" s="606"/>
      <c r="D111" s="607"/>
      <c r="E111" s="608"/>
      <c r="F111" s="609"/>
      <c r="G111" s="647"/>
      <c r="H111" s="642"/>
      <c r="I111" s="131"/>
      <c r="J111" s="131"/>
      <c r="K111" s="1037"/>
      <c r="L111" s="1088" t="s">
        <v>252</v>
      </c>
      <c r="M111" s="1075" t="s">
        <v>894</v>
      </c>
      <c r="N111" s="1064" t="s">
        <v>820</v>
      </c>
      <c r="O111" s="1009">
        <f>'사. 임직원보수 일람표'!G132</f>
        <v>1967000</v>
      </c>
      <c r="P111" s="1069" t="s">
        <v>744</v>
      </c>
      <c r="Q111" s="1089">
        <v>1</v>
      </c>
      <c r="R111" s="1069" t="s">
        <v>744</v>
      </c>
      <c r="S111" s="1070">
        <f>'사. 임직원보수 일람표'!E132</f>
        <v>2</v>
      </c>
      <c r="T111" s="1071" t="s">
        <v>410</v>
      </c>
      <c r="U111" s="1090">
        <f t="shared" si="3"/>
        <v>3934000</v>
      </c>
    </row>
    <row r="112" spans="1:21" ht="21.75" hidden="1" customHeight="1">
      <c r="A112" s="605"/>
      <c r="B112" s="606"/>
      <c r="C112" s="606"/>
      <c r="D112" s="607"/>
      <c r="E112" s="608"/>
      <c r="F112" s="609"/>
      <c r="G112" s="647"/>
      <c r="H112" s="642"/>
      <c r="I112" s="131"/>
      <c r="J112" s="131"/>
      <c r="K112" s="1037"/>
      <c r="L112" s="1088" t="s">
        <v>252</v>
      </c>
      <c r="M112" s="1075" t="s">
        <v>894</v>
      </c>
      <c r="N112" s="1064" t="s">
        <v>820</v>
      </c>
      <c r="O112" s="1009">
        <f>'사. 임직원보수 일람표'!G133</f>
        <v>2008000</v>
      </c>
      <c r="P112" s="1069" t="s">
        <v>744</v>
      </c>
      <c r="Q112" s="1089">
        <v>1</v>
      </c>
      <c r="R112" s="1069" t="s">
        <v>744</v>
      </c>
      <c r="S112" s="1070">
        <f>'사. 임직원보수 일람표'!E133</f>
        <v>10</v>
      </c>
      <c r="T112" s="1071" t="s">
        <v>410</v>
      </c>
      <c r="U112" s="1090">
        <f t="shared" si="3"/>
        <v>20080000</v>
      </c>
    </row>
    <row r="113" spans="1:21" ht="21.75" hidden="1" customHeight="1">
      <c r="A113" s="605"/>
      <c r="B113" s="606"/>
      <c r="C113" s="606"/>
      <c r="D113" s="607"/>
      <c r="E113" s="608"/>
      <c r="F113" s="609"/>
      <c r="G113" s="647"/>
      <c r="H113" s="642"/>
      <c r="I113" s="131"/>
      <c r="J113" s="131"/>
      <c r="K113" s="1037"/>
      <c r="L113" s="1088" t="s">
        <v>818</v>
      </c>
      <c r="M113" s="1075" t="s">
        <v>894</v>
      </c>
      <c r="N113" s="1064" t="s">
        <v>821</v>
      </c>
      <c r="O113" s="1009">
        <f>'사. 임직원보수 일람표'!G134</f>
        <v>2493000</v>
      </c>
      <c r="P113" s="1069" t="s">
        <v>744</v>
      </c>
      <c r="Q113" s="1089">
        <v>1</v>
      </c>
      <c r="R113" s="1069" t="s">
        <v>744</v>
      </c>
      <c r="S113" s="1070">
        <f>'사. 임직원보수 일람표'!E134</f>
        <v>8</v>
      </c>
      <c r="T113" s="1071" t="s">
        <v>410</v>
      </c>
      <c r="U113" s="1090">
        <f t="shared" si="3"/>
        <v>19944000</v>
      </c>
    </row>
    <row r="114" spans="1:21" ht="21.75" hidden="1" customHeight="1">
      <c r="A114" s="605"/>
      <c r="B114" s="606"/>
      <c r="C114" s="606"/>
      <c r="D114" s="607"/>
      <c r="E114" s="608"/>
      <c r="F114" s="609"/>
      <c r="G114" s="647"/>
      <c r="H114" s="642"/>
      <c r="I114" s="131"/>
      <c r="J114" s="131"/>
      <c r="K114" s="1037"/>
      <c r="L114" s="1088" t="s">
        <v>818</v>
      </c>
      <c r="M114" s="1075" t="s">
        <v>894</v>
      </c>
      <c r="N114" s="1064" t="s">
        <v>821</v>
      </c>
      <c r="O114" s="1009">
        <f>'사. 임직원보수 일람표'!G135</f>
        <v>2558000</v>
      </c>
      <c r="P114" s="1069" t="s">
        <v>744</v>
      </c>
      <c r="Q114" s="1089">
        <v>1</v>
      </c>
      <c r="R114" s="1069" t="s">
        <v>744</v>
      </c>
      <c r="S114" s="1070">
        <f>'사. 임직원보수 일람표'!E135</f>
        <v>4</v>
      </c>
      <c r="T114" s="1071" t="s">
        <v>410</v>
      </c>
      <c r="U114" s="1090">
        <f t="shared" si="3"/>
        <v>10232000</v>
      </c>
    </row>
    <row r="115" spans="1:21" ht="21.75" hidden="1" customHeight="1">
      <c r="A115" s="605"/>
      <c r="B115" s="606"/>
      <c r="C115" s="606"/>
      <c r="D115" s="607"/>
      <c r="E115" s="608"/>
      <c r="F115" s="609"/>
      <c r="G115" s="647"/>
      <c r="H115" s="642"/>
      <c r="I115" s="131"/>
      <c r="J115" s="131"/>
      <c r="K115" s="1037"/>
      <c r="L115" s="1088" t="s">
        <v>210</v>
      </c>
      <c r="M115" s="1075" t="s">
        <v>899</v>
      </c>
      <c r="N115" s="1064" t="s">
        <v>798</v>
      </c>
      <c r="O115" s="1009">
        <f>'사. 임직원보수 일람표'!G145</f>
        <v>1821000</v>
      </c>
      <c r="P115" s="1069" t="s">
        <v>744</v>
      </c>
      <c r="Q115" s="1089">
        <v>1</v>
      </c>
      <c r="R115" s="1069" t="s">
        <v>744</v>
      </c>
      <c r="S115" s="1070">
        <f>'사. 임직원보수 일람표'!E145</f>
        <v>3</v>
      </c>
      <c r="T115" s="1071" t="s">
        <v>410</v>
      </c>
      <c r="U115" s="1090">
        <f t="shared" si="3"/>
        <v>5463000</v>
      </c>
    </row>
    <row r="116" spans="1:21" ht="21.75" hidden="1" customHeight="1">
      <c r="A116" s="605"/>
      <c r="B116" s="606"/>
      <c r="C116" s="606"/>
      <c r="D116" s="607"/>
      <c r="E116" s="608"/>
      <c r="F116" s="609"/>
      <c r="G116" s="647"/>
      <c r="H116" s="642"/>
      <c r="I116" s="131"/>
      <c r="J116" s="131"/>
      <c r="K116" s="1037"/>
      <c r="L116" s="1088" t="s">
        <v>210</v>
      </c>
      <c r="M116" s="1075" t="s">
        <v>899</v>
      </c>
      <c r="N116" s="1064" t="s">
        <v>798</v>
      </c>
      <c r="O116" s="1009">
        <f>'사. 임직원보수 일람표'!G146</f>
        <v>1873000</v>
      </c>
      <c r="P116" s="1069" t="s">
        <v>744</v>
      </c>
      <c r="Q116" s="1089">
        <v>1</v>
      </c>
      <c r="R116" s="1069" t="s">
        <v>744</v>
      </c>
      <c r="S116" s="1070">
        <f>'사. 임직원보수 일람표'!E146</f>
        <v>5</v>
      </c>
      <c r="T116" s="1071" t="s">
        <v>410</v>
      </c>
      <c r="U116" s="1090">
        <f t="shared" si="3"/>
        <v>9365000</v>
      </c>
    </row>
    <row r="117" spans="1:21" ht="21.75" hidden="1" customHeight="1">
      <c r="A117" s="605"/>
      <c r="B117" s="606"/>
      <c r="C117" s="606"/>
      <c r="D117" s="607"/>
      <c r="E117" s="608"/>
      <c r="F117" s="609"/>
      <c r="G117" s="647"/>
      <c r="H117" s="642"/>
      <c r="I117" s="131"/>
      <c r="J117" s="131"/>
      <c r="K117" s="1037"/>
      <c r="L117" s="1088" t="s">
        <v>210</v>
      </c>
      <c r="M117" s="1075" t="s">
        <v>899</v>
      </c>
      <c r="N117" s="1064" t="s">
        <v>822</v>
      </c>
      <c r="O117" s="1009">
        <f>'사. 임직원보수 일람표'!G147</f>
        <v>1821000</v>
      </c>
      <c r="P117" s="1069" t="s">
        <v>744</v>
      </c>
      <c r="Q117" s="1089">
        <v>1</v>
      </c>
      <c r="R117" s="1069" t="s">
        <v>744</v>
      </c>
      <c r="S117" s="1070">
        <f>'사. 임직원보수 일람표'!E147</f>
        <v>12</v>
      </c>
      <c r="T117" s="1071" t="s">
        <v>410</v>
      </c>
      <c r="U117" s="1090">
        <f t="shared" si="3"/>
        <v>21852000</v>
      </c>
    </row>
    <row r="118" spans="1:21" ht="21.75" hidden="1" customHeight="1">
      <c r="A118" s="605"/>
      <c r="B118" s="606"/>
      <c r="C118" s="606"/>
      <c r="D118" s="607"/>
      <c r="E118" s="608"/>
      <c r="F118" s="609"/>
      <c r="G118" s="647"/>
      <c r="H118" s="642"/>
      <c r="I118" s="131"/>
      <c r="J118" s="131"/>
      <c r="K118" s="1037"/>
      <c r="L118" s="1088" t="s">
        <v>210</v>
      </c>
      <c r="M118" s="1075" t="s">
        <v>899</v>
      </c>
      <c r="N118" s="1064" t="s">
        <v>823</v>
      </c>
      <c r="O118" s="1009">
        <f>'사. 임직원보수 일람표'!G149</f>
        <v>1929000</v>
      </c>
      <c r="P118" s="1069" t="s">
        <v>744</v>
      </c>
      <c r="Q118" s="1089">
        <v>1</v>
      </c>
      <c r="R118" s="1069" t="s">
        <v>744</v>
      </c>
      <c r="S118" s="1070">
        <f>'사. 임직원보수 일람표'!E149</f>
        <v>12</v>
      </c>
      <c r="T118" s="1071" t="s">
        <v>410</v>
      </c>
      <c r="U118" s="1090">
        <f t="shared" si="3"/>
        <v>23148000</v>
      </c>
    </row>
    <row r="119" spans="1:21" ht="21.75" hidden="1" customHeight="1">
      <c r="A119" s="605"/>
      <c r="B119" s="606"/>
      <c r="C119" s="606"/>
      <c r="D119" s="607"/>
      <c r="E119" s="608"/>
      <c r="F119" s="609"/>
      <c r="G119" s="647"/>
      <c r="H119" s="642"/>
      <c r="I119" s="131"/>
      <c r="J119" s="131"/>
      <c r="K119" s="1037"/>
      <c r="L119" s="1088" t="s">
        <v>210</v>
      </c>
      <c r="M119" s="1075" t="s">
        <v>899</v>
      </c>
      <c r="N119" s="1064" t="s">
        <v>824</v>
      </c>
      <c r="O119" s="1009">
        <f>'사. 임직원보수 일람표'!G151</f>
        <v>1873000</v>
      </c>
      <c r="P119" s="1069" t="s">
        <v>744</v>
      </c>
      <c r="Q119" s="1089">
        <v>1</v>
      </c>
      <c r="R119" s="1069" t="s">
        <v>744</v>
      </c>
      <c r="S119" s="1070">
        <f>'사. 임직원보수 일람표'!E151</f>
        <v>9</v>
      </c>
      <c r="T119" s="1071" t="s">
        <v>410</v>
      </c>
      <c r="U119" s="1090">
        <f t="shared" si="3"/>
        <v>16857000</v>
      </c>
    </row>
    <row r="120" spans="1:21" ht="21.75" hidden="1" customHeight="1">
      <c r="A120" s="605"/>
      <c r="B120" s="606"/>
      <c r="C120" s="606"/>
      <c r="D120" s="607"/>
      <c r="E120" s="608"/>
      <c r="F120" s="609"/>
      <c r="G120" s="647"/>
      <c r="H120" s="642"/>
      <c r="I120" s="131"/>
      <c r="J120" s="131"/>
      <c r="K120" s="1037"/>
      <c r="L120" s="1088" t="s">
        <v>210</v>
      </c>
      <c r="M120" s="1075" t="s">
        <v>899</v>
      </c>
      <c r="N120" s="1064" t="s">
        <v>824</v>
      </c>
      <c r="O120" s="1009">
        <f>'사. 임직원보수 일람표'!G152</f>
        <v>1929000</v>
      </c>
      <c r="P120" s="1069" t="s">
        <v>744</v>
      </c>
      <c r="Q120" s="1089">
        <v>1</v>
      </c>
      <c r="R120" s="1069" t="s">
        <v>744</v>
      </c>
      <c r="S120" s="1070">
        <f>'사. 임직원보수 일람표'!E152</f>
        <v>3</v>
      </c>
      <c r="T120" s="1071" t="s">
        <v>410</v>
      </c>
      <c r="U120" s="1090">
        <f t="shared" si="3"/>
        <v>5787000</v>
      </c>
    </row>
    <row r="121" spans="1:21" ht="21.75" hidden="1" customHeight="1">
      <c r="A121" s="605"/>
      <c r="B121" s="606"/>
      <c r="C121" s="606"/>
      <c r="D121" s="607"/>
      <c r="E121" s="608"/>
      <c r="F121" s="609"/>
      <c r="G121" s="647"/>
      <c r="H121" s="642"/>
      <c r="I121" s="131"/>
      <c r="J121" s="131"/>
      <c r="K121" s="1037"/>
      <c r="L121" s="1088" t="s">
        <v>210</v>
      </c>
      <c r="M121" s="1075" t="s">
        <v>899</v>
      </c>
      <c r="N121" s="1064" t="s">
        <v>825</v>
      </c>
      <c r="O121" s="1009">
        <f>'사. 임직원보수 일람표'!G153</f>
        <v>1821000</v>
      </c>
      <c r="P121" s="1069" t="s">
        <v>744</v>
      </c>
      <c r="Q121" s="1089">
        <v>1</v>
      </c>
      <c r="R121" s="1069" t="s">
        <v>744</v>
      </c>
      <c r="S121" s="1070">
        <f>'사. 임직원보수 일람표'!E153</f>
        <v>12</v>
      </c>
      <c r="T121" s="1071" t="s">
        <v>410</v>
      </c>
      <c r="U121" s="1090">
        <f t="shared" si="3"/>
        <v>21852000</v>
      </c>
    </row>
    <row r="122" spans="1:21" ht="21.75" hidden="1" customHeight="1">
      <c r="A122" s="605"/>
      <c r="B122" s="606"/>
      <c r="C122" s="606"/>
      <c r="D122" s="607"/>
      <c r="E122" s="608"/>
      <c r="F122" s="609"/>
      <c r="G122" s="647"/>
      <c r="H122" s="642"/>
      <c r="I122" s="131"/>
      <c r="J122" s="131"/>
      <c r="K122" s="1037"/>
      <c r="L122" s="1088" t="s">
        <v>210</v>
      </c>
      <c r="M122" s="1075" t="s">
        <v>899</v>
      </c>
      <c r="N122" s="1064" t="s">
        <v>826</v>
      </c>
      <c r="O122" s="1009">
        <f>'사. 임직원보수 일람표'!G155</f>
        <v>1821000</v>
      </c>
      <c r="P122" s="1069" t="s">
        <v>744</v>
      </c>
      <c r="Q122" s="1089">
        <v>1</v>
      </c>
      <c r="R122" s="1069" t="s">
        <v>744</v>
      </c>
      <c r="S122" s="1070">
        <f>'사. 임직원보수 일람표'!E155</f>
        <v>12</v>
      </c>
      <c r="T122" s="1071" t="s">
        <v>410</v>
      </c>
      <c r="U122" s="1090">
        <f t="shared" si="3"/>
        <v>21852000</v>
      </c>
    </row>
    <row r="123" spans="1:21" ht="21.75" hidden="1" customHeight="1">
      <c r="A123" s="605"/>
      <c r="B123" s="606"/>
      <c r="C123" s="606"/>
      <c r="D123" s="607"/>
      <c r="E123" s="608"/>
      <c r="F123" s="609"/>
      <c r="G123" s="647"/>
      <c r="H123" s="642"/>
      <c r="I123" s="131"/>
      <c r="J123" s="131"/>
      <c r="K123" s="1037"/>
      <c r="L123" s="1088" t="s">
        <v>210</v>
      </c>
      <c r="M123" s="1075" t="s">
        <v>899</v>
      </c>
      <c r="N123" s="1064" t="s">
        <v>827</v>
      </c>
      <c r="O123" s="1009">
        <f>'사. 임직원보수 일람표'!G157</f>
        <v>1929000</v>
      </c>
      <c r="P123" s="1069" t="s">
        <v>744</v>
      </c>
      <c r="Q123" s="1089">
        <v>1</v>
      </c>
      <c r="R123" s="1069" t="s">
        <v>744</v>
      </c>
      <c r="S123" s="1070">
        <f>'사. 임직원보수 일람표'!E157</f>
        <v>4</v>
      </c>
      <c r="T123" s="1071" t="s">
        <v>410</v>
      </c>
      <c r="U123" s="1090">
        <f t="shared" si="3"/>
        <v>7716000</v>
      </c>
    </row>
    <row r="124" spans="1:21" ht="21.75" hidden="1" customHeight="1">
      <c r="A124" s="605"/>
      <c r="B124" s="606"/>
      <c r="C124" s="606"/>
      <c r="D124" s="607"/>
      <c r="E124" s="608"/>
      <c r="F124" s="609"/>
      <c r="G124" s="647"/>
      <c r="H124" s="642"/>
      <c r="I124" s="131"/>
      <c r="J124" s="131"/>
      <c r="K124" s="1037"/>
      <c r="L124" s="1088" t="s">
        <v>210</v>
      </c>
      <c r="M124" s="1075" t="s">
        <v>899</v>
      </c>
      <c r="N124" s="1064" t="s">
        <v>827</v>
      </c>
      <c r="O124" s="1009">
        <f>'사. 임직원보수 일람표'!G158</f>
        <v>1987000</v>
      </c>
      <c r="P124" s="1069" t="s">
        <v>744</v>
      </c>
      <c r="Q124" s="1089">
        <v>1</v>
      </c>
      <c r="R124" s="1069" t="s">
        <v>744</v>
      </c>
      <c r="S124" s="1070">
        <f>'사. 임직원보수 일람표'!E158</f>
        <v>7</v>
      </c>
      <c r="T124" s="1071" t="s">
        <v>410</v>
      </c>
      <c r="U124" s="1090">
        <f t="shared" si="3"/>
        <v>13909000</v>
      </c>
    </row>
    <row r="125" spans="1:21" ht="21.75" hidden="1" customHeight="1">
      <c r="A125" s="605"/>
      <c r="B125" s="606"/>
      <c r="C125" s="606"/>
      <c r="D125" s="607"/>
      <c r="E125" s="608"/>
      <c r="F125" s="609"/>
      <c r="G125" s="647"/>
      <c r="H125" s="642"/>
      <c r="I125" s="131"/>
      <c r="J125" s="131"/>
      <c r="K125" s="1037"/>
      <c r="L125" s="1088" t="s">
        <v>210</v>
      </c>
      <c r="M125" s="1075" t="s">
        <v>899</v>
      </c>
      <c r="N125" s="1064" t="s">
        <v>828</v>
      </c>
      <c r="O125" s="1009">
        <f>'사. 임직원보수 일람표'!G159</f>
        <v>1929000</v>
      </c>
      <c r="P125" s="1069" t="s">
        <v>744</v>
      </c>
      <c r="Q125" s="1089">
        <v>1</v>
      </c>
      <c r="R125" s="1069" t="s">
        <v>744</v>
      </c>
      <c r="S125" s="1070">
        <f>'사. 임직원보수 일람표'!E159</f>
        <v>3</v>
      </c>
      <c r="T125" s="1071" t="s">
        <v>410</v>
      </c>
      <c r="U125" s="1090">
        <f t="shared" si="3"/>
        <v>5787000</v>
      </c>
    </row>
    <row r="126" spans="1:21" ht="21.75" hidden="1" customHeight="1">
      <c r="A126" s="605"/>
      <c r="B126" s="606"/>
      <c r="C126" s="606"/>
      <c r="D126" s="607"/>
      <c r="E126" s="608"/>
      <c r="F126" s="609"/>
      <c r="G126" s="647"/>
      <c r="H126" s="642"/>
      <c r="I126" s="131"/>
      <c r="J126" s="131"/>
      <c r="K126" s="1037"/>
      <c r="L126" s="1088" t="s">
        <v>210</v>
      </c>
      <c r="M126" s="1075" t="s">
        <v>899</v>
      </c>
      <c r="N126" s="1064" t="s">
        <v>828</v>
      </c>
      <c r="O126" s="1009">
        <f>'사. 임직원보수 일람표'!G160</f>
        <v>1987000</v>
      </c>
      <c r="P126" s="1069" t="s">
        <v>744</v>
      </c>
      <c r="Q126" s="1089">
        <v>1</v>
      </c>
      <c r="R126" s="1069" t="s">
        <v>744</v>
      </c>
      <c r="S126" s="1070">
        <f>'사. 임직원보수 일람표'!E160</f>
        <v>6</v>
      </c>
      <c r="T126" s="1071" t="s">
        <v>410</v>
      </c>
      <c r="U126" s="1090">
        <f t="shared" si="3"/>
        <v>11922000</v>
      </c>
    </row>
    <row r="127" spans="1:21" ht="21.75" hidden="1" customHeight="1">
      <c r="A127" s="605"/>
      <c r="B127" s="606"/>
      <c r="C127" s="606"/>
      <c r="D127" s="607"/>
      <c r="E127" s="608"/>
      <c r="F127" s="609"/>
      <c r="G127" s="647"/>
      <c r="H127" s="642"/>
      <c r="I127" s="131"/>
      <c r="J127" s="131"/>
      <c r="K127" s="1037"/>
      <c r="L127" s="1088" t="s">
        <v>210</v>
      </c>
      <c r="M127" s="1075" t="s">
        <v>899</v>
      </c>
      <c r="N127" s="1064" t="s">
        <v>829</v>
      </c>
      <c r="O127" s="1009">
        <f>'사. 임직원보수 일람표'!G161</f>
        <v>1821000</v>
      </c>
      <c r="P127" s="1069" t="s">
        <v>744</v>
      </c>
      <c r="Q127" s="1089">
        <v>1</v>
      </c>
      <c r="R127" s="1069" t="s">
        <v>744</v>
      </c>
      <c r="S127" s="1070">
        <f>'사. 임직원보수 일람표'!E161</f>
        <v>6</v>
      </c>
      <c r="T127" s="1071" t="s">
        <v>410</v>
      </c>
      <c r="U127" s="1090">
        <f t="shared" si="3"/>
        <v>10926000</v>
      </c>
    </row>
    <row r="128" spans="1:21" ht="21.75" hidden="1" customHeight="1">
      <c r="A128" s="605"/>
      <c r="B128" s="606"/>
      <c r="C128" s="606"/>
      <c r="D128" s="607"/>
      <c r="E128" s="608"/>
      <c r="F128" s="609"/>
      <c r="G128" s="647"/>
      <c r="H128" s="642"/>
      <c r="I128" s="131"/>
      <c r="J128" s="131"/>
      <c r="K128" s="1037"/>
      <c r="L128" s="1088" t="s">
        <v>210</v>
      </c>
      <c r="M128" s="1075" t="s">
        <v>899</v>
      </c>
      <c r="N128" s="1064" t="s">
        <v>830</v>
      </c>
      <c r="O128" s="1009">
        <f>'사. 임직원보수 일람표'!G163</f>
        <v>1873000</v>
      </c>
      <c r="P128" s="1069" t="s">
        <v>744</v>
      </c>
      <c r="Q128" s="1089">
        <v>1</v>
      </c>
      <c r="R128" s="1069" t="s">
        <v>744</v>
      </c>
      <c r="S128" s="1070">
        <f>'사. 임직원보수 일람표'!E163</f>
        <v>3</v>
      </c>
      <c r="T128" s="1071" t="s">
        <v>410</v>
      </c>
      <c r="U128" s="1090">
        <f t="shared" si="3"/>
        <v>5619000</v>
      </c>
    </row>
    <row r="129" spans="1:26" ht="21.75" hidden="1" customHeight="1">
      <c r="A129" s="605"/>
      <c r="B129" s="606"/>
      <c r="C129" s="606"/>
      <c r="D129" s="607"/>
      <c r="E129" s="608"/>
      <c r="F129" s="609"/>
      <c r="G129" s="647"/>
      <c r="H129" s="642"/>
      <c r="I129" s="131"/>
      <c r="J129" s="131"/>
      <c r="K129" s="1037"/>
      <c r="L129" s="1088" t="s">
        <v>210</v>
      </c>
      <c r="M129" s="1075" t="s">
        <v>899</v>
      </c>
      <c r="N129" s="1064" t="s">
        <v>830</v>
      </c>
      <c r="O129" s="1009">
        <f>'사. 임직원보수 일람표'!G164</f>
        <v>1929000</v>
      </c>
      <c r="P129" s="1069" t="s">
        <v>744</v>
      </c>
      <c r="Q129" s="1089">
        <v>1</v>
      </c>
      <c r="R129" s="1069" t="s">
        <v>744</v>
      </c>
      <c r="S129" s="1070">
        <f>'사. 임직원보수 일람표'!E164</f>
        <v>2</v>
      </c>
      <c r="T129" s="1071" t="s">
        <v>410</v>
      </c>
      <c r="U129" s="1090">
        <f t="shared" si="3"/>
        <v>3858000</v>
      </c>
    </row>
    <row r="130" spans="1:26" ht="21.75" hidden="1" customHeight="1">
      <c r="A130" s="605"/>
      <c r="B130" s="606"/>
      <c r="C130" s="606"/>
      <c r="D130" s="607"/>
      <c r="E130" s="608"/>
      <c r="F130" s="609"/>
      <c r="G130" s="647"/>
      <c r="H130" s="642"/>
      <c r="I130" s="131"/>
      <c r="J130" s="131"/>
      <c r="K130" s="1037"/>
      <c r="L130" s="1088" t="s">
        <v>210</v>
      </c>
      <c r="M130" s="1075" t="s">
        <v>899</v>
      </c>
      <c r="N130" s="1064" t="s">
        <v>831</v>
      </c>
      <c r="O130" s="1009">
        <f>'사. 임직원보수 일람표'!G165</f>
        <v>1873000</v>
      </c>
      <c r="P130" s="1069" t="s">
        <v>744</v>
      </c>
      <c r="Q130" s="1089">
        <v>1</v>
      </c>
      <c r="R130" s="1069" t="s">
        <v>744</v>
      </c>
      <c r="S130" s="1070">
        <f>'사. 임직원보수 일람표'!E165</f>
        <v>3</v>
      </c>
      <c r="T130" s="1071" t="s">
        <v>410</v>
      </c>
      <c r="U130" s="1090">
        <f t="shared" si="3"/>
        <v>5619000</v>
      </c>
    </row>
    <row r="131" spans="1:26" ht="21.75" hidden="1" customHeight="1">
      <c r="A131" s="605"/>
      <c r="B131" s="606"/>
      <c r="C131" s="606"/>
      <c r="D131" s="607"/>
      <c r="E131" s="608"/>
      <c r="F131" s="609"/>
      <c r="G131" s="647"/>
      <c r="H131" s="642"/>
      <c r="I131" s="131"/>
      <c r="J131" s="131"/>
      <c r="K131" s="1037"/>
      <c r="L131" s="1088" t="s">
        <v>210</v>
      </c>
      <c r="M131" s="1075" t="s">
        <v>899</v>
      </c>
      <c r="N131" s="1064" t="s">
        <v>832</v>
      </c>
      <c r="O131" s="1009">
        <f>'사. 임직원보수 일람표'!G167</f>
        <v>1929000</v>
      </c>
      <c r="P131" s="1069" t="s">
        <v>744</v>
      </c>
      <c r="Q131" s="1089">
        <v>1</v>
      </c>
      <c r="R131" s="1069" t="s">
        <v>744</v>
      </c>
      <c r="S131" s="1070">
        <f>'사. 임직원보수 일람표'!E167</f>
        <v>6</v>
      </c>
      <c r="T131" s="1071" t="s">
        <v>410</v>
      </c>
      <c r="U131" s="1090">
        <f t="shared" si="3"/>
        <v>11574000</v>
      </c>
    </row>
    <row r="132" spans="1:26" ht="21.75" hidden="1" customHeight="1">
      <c r="A132" s="605"/>
      <c r="B132" s="606"/>
      <c r="C132" s="606"/>
      <c r="D132" s="607"/>
      <c r="E132" s="608"/>
      <c r="F132" s="609"/>
      <c r="G132" s="647"/>
      <c r="H132" s="642"/>
      <c r="I132" s="131"/>
      <c r="J132" s="131"/>
      <c r="K132" s="1037"/>
      <c r="L132" s="1088" t="s">
        <v>833</v>
      </c>
      <c r="M132" s="1064"/>
      <c r="N132" s="1064" t="s">
        <v>834</v>
      </c>
      <c r="O132" s="1009">
        <v>3000000</v>
      </c>
      <c r="P132" s="1069" t="s">
        <v>744</v>
      </c>
      <c r="Q132" s="1089">
        <v>1</v>
      </c>
      <c r="R132" s="1069" t="s">
        <v>744</v>
      </c>
      <c r="S132" s="1070">
        <v>1</v>
      </c>
      <c r="T132" s="1071" t="s">
        <v>410</v>
      </c>
      <c r="U132" s="1090">
        <f t="shared" si="3"/>
        <v>3000000</v>
      </c>
    </row>
    <row r="133" spans="1:26" ht="21.75" customHeight="1">
      <c r="A133" s="605"/>
      <c r="B133" s="606"/>
      <c r="C133" s="1012" t="s">
        <v>901</v>
      </c>
      <c r="D133" s="1013">
        <v>9600000</v>
      </c>
      <c r="E133" s="1014">
        <f>SUM(H133:K133)</f>
        <v>9600000</v>
      </c>
      <c r="F133" s="1014">
        <f>E133-D133</f>
        <v>0</v>
      </c>
      <c r="G133" s="1015">
        <f>F133/D133*100</f>
        <v>0</v>
      </c>
      <c r="H133" s="1016">
        <v>0</v>
      </c>
      <c r="I133" s="1017"/>
      <c r="J133" s="1017">
        <v>0</v>
      </c>
      <c r="K133" s="1036">
        <f>'아. 일용잡급일람표'!N11</f>
        <v>9600000</v>
      </c>
      <c r="L133" s="1339" t="s">
        <v>954</v>
      </c>
      <c r="M133" s="1340"/>
      <c r="N133" s="1340"/>
      <c r="O133" s="1076"/>
      <c r="P133" s="1084"/>
      <c r="Q133" s="1085"/>
      <c r="R133" s="1084"/>
      <c r="S133" s="1086"/>
      <c r="T133" s="1087"/>
      <c r="U133" s="1131">
        <f>U134</f>
        <v>9600000</v>
      </c>
      <c r="W133" s="582">
        <f>자부담세출!T8-'라. 세출내역서'!I6</f>
        <v>-19000000.125</v>
      </c>
    </row>
    <row r="134" spans="1:26" ht="21.75" customHeight="1">
      <c r="A134" s="605"/>
      <c r="B134" s="606"/>
      <c r="C134" s="606"/>
      <c r="D134" s="607"/>
      <c r="E134" s="608"/>
      <c r="F134" s="609"/>
      <c r="G134" s="647"/>
      <c r="H134" s="642"/>
      <c r="I134" s="131"/>
      <c r="J134" s="131"/>
      <c r="K134" s="1037"/>
      <c r="L134" s="1088"/>
      <c r="M134" s="1064" t="s">
        <v>900</v>
      </c>
      <c r="N134" s="1064" t="s">
        <v>390</v>
      </c>
      <c r="O134" s="1009">
        <v>800000</v>
      </c>
      <c r="P134" s="1069" t="s">
        <v>744</v>
      </c>
      <c r="Q134" s="1089">
        <v>1</v>
      </c>
      <c r="R134" s="1069" t="s">
        <v>744</v>
      </c>
      <c r="S134" s="1070">
        <v>12</v>
      </c>
      <c r="T134" s="1071" t="s">
        <v>410</v>
      </c>
      <c r="U134" s="1090">
        <f>O134*Q134*S134</f>
        <v>9600000</v>
      </c>
    </row>
    <row r="135" spans="1:26" ht="21.75" customHeight="1">
      <c r="A135" s="605"/>
      <c r="B135" s="606"/>
      <c r="C135" s="1012" t="s">
        <v>114</v>
      </c>
      <c r="D135" s="1013">
        <v>509510880</v>
      </c>
      <c r="E135" s="1014">
        <f>SUM(H135:K135)</f>
        <v>597343050</v>
      </c>
      <c r="F135" s="1014">
        <f>E135-D135</f>
        <v>87832170</v>
      </c>
      <c r="G135" s="1015">
        <f>F135/D135*100</f>
        <v>17.238526878954968</v>
      </c>
      <c r="H135" s="1016">
        <f>'사. 임직원보수 일람표'!O202-I135</f>
        <v>578343050</v>
      </c>
      <c r="I135" s="1017">
        <f>'사. 임직원보수 일람표'!N202</f>
        <v>19000000</v>
      </c>
      <c r="J135" s="1017">
        <v>0</v>
      </c>
      <c r="K135" s="1036">
        <v>0</v>
      </c>
      <c r="L135" s="1339" t="s">
        <v>955</v>
      </c>
      <c r="M135" s="1340"/>
      <c r="N135" s="1340"/>
      <c r="O135" s="1083"/>
      <c r="P135" s="1084"/>
      <c r="Q135" s="1085"/>
      <c r="R135" s="1084"/>
      <c r="S135" s="1086"/>
      <c r="T135" s="1087"/>
      <c r="U135" s="1131">
        <f>U136+U246+U297+U419+U469</f>
        <v>597343050</v>
      </c>
      <c r="V135" s="582" t="e">
        <f>SUM(V136+V246+V297+#REF!+V469)</f>
        <v>#REF!</v>
      </c>
      <c r="W135" s="582">
        <f>후원금세출!F6-'라. 세출내역서'!K6</f>
        <v>-0.125</v>
      </c>
      <c r="Z135" s="1011" t="e">
        <f>U136+U246+U297+#REF!+U469</f>
        <v>#REF!</v>
      </c>
    </row>
    <row r="136" spans="1:26" ht="21.75" customHeight="1">
      <c r="A136" s="605"/>
      <c r="B136" s="606"/>
      <c r="C136" s="606"/>
      <c r="D136" s="607"/>
      <c r="E136" s="608"/>
      <c r="F136" s="609"/>
      <c r="G136" s="647"/>
      <c r="H136" s="642"/>
      <c r="I136" s="131"/>
      <c r="J136" s="131"/>
      <c r="K136" s="1037"/>
      <c r="L136" s="1350" t="s">
        <v>836</v>
      </c>
      <c r="M136" s="1351"/>
      <c r="N136" s="1351"/>
      <c r="O136" s="1091"/>
      <c r="P136" s="1092"/>
      <c r="Q136" s="1093"/>
      <c r="R136" s="1092"/>
      <c r="S136" s="1094"/>
      <c r="T136" s="1095"/>
      <c r="U136" s="1155">
        <f>SUM(U137:U245)</f>
        <v>164080200</v>
      </c>
      <c r="V136" s="582">
        <f>'사. 임직원보수 일람표'!I202</f>
        <v>164080200</v>
      </c>
      <c r="Z136" s="1011" t="e">
        <f>'사. 임직원보수 일람표'!#REF!</f>
        <v>#REF!</v>
      </c>
    </row>
    <row r="137" spans="1:26" ht="21.75" hidden="1" customHeight="1">
      <c r="A137" s="605"/>
      <c r="B137" s="606"/>
      <c r="C137" s="606"/>
      <c r="D137" s="607"/>
      <c r="E137" s="608"/>
      <c r="F137" s="609"/>
      <c r="G137" s="647"/>
      <c r="H137" s="642"/>
      <c r="I137" s="131"/>
      <c r="J137" s="131"/>
      <c r="K137" s="1037"/>
      <c r="L137" s="1088" t="s">
        <v>161</v>
      </c>
      <c r="M137" s="1064" t="s">
        <v>161</v>
      </c>
      <c r="N137" s="1064" t="s">
        <v>162</v>
      </c>
      <c r="O137" s="1074">
        <f>'사. 임직원보수 일람표'!G5</f>
        <v>3701000</v>
      </c>
      <c r="P137" s="1069" t="s">
        <v>744</v>
      </c>
      <c r="Q137" s="1096">
        <v>60</v>
      </c>
      <c r="R137" s="1069" t="s">
        <v>744</v>
      </c>
      <c r="S137" s="1097">
        <v>1</v>
      </c>
      <c r="T137" s="1071" t="s">
        <v>410</v>
      </c>
      <c r="U137" s="1090">
        <f t="shared" ref="U137:U144" si="4">O137*60%</f>
        <v>2220600</v>
      </c>
      <c r="Z137" s="1011"/>
    </row>
    <row r="138" spans="1:26" ht="21.75" hidden="1" customHeight="1">
      <c r="A138" s="605"/>
      <c r="B138" s="606"/>
      <c r="C138" s="606"/>
      <c r="D138" s="607"/>
      <c r="E138" s="608"/>
      <c r="F138" s="609"/>
      <c r="G138" s="647"/>
      <c r="H138" s="642"/>
      <c r="I138" s="131"/>
      <c r="J138" s="131"/>
      <c r="K138" s="1037"/>
      <c r="L138" s="1088" t="s">
        <v>161</v>
      </c>
      <c r="M138" s="1064" t="s">
        <v>161</v>
      </c>
      <c r="N138" s="1064" t="s">
        <v>162</v>
      </c>
      <c r="O138" s="1074">
        <f>'사. 임직원보수 일람표'!G6</f>
        <v>3785000</v>
      </c>
      <c r="P138" s="1069" t="s">
        <v>744</v>
      </c>
      <c r="Q138" s="1096">
        <v>60</v>
      </c>
      <c r="R138" s="1069" t="s">
        <v>744</v>
      </c>
      <c r="S138" s="1097">
        <v>1</v>
      </c>
      <c r="T138" s="1071" t="s">
        <v>410</v>
      </c>
      <c r="U138" s="1090">
        <f t="shared" si="4"/>
        <v>2271000</v>
      </c>
      <c r="Z138" s="1011"/>
    </row>
    <row r="139" spans="1:26" ht="21.75" hidden="1" customHeight="1">
      <c r="A139" s="605"/>
      <c r="B139" s="606"/>
      <c r="C139" s="606"/>
      <c r="D139" s="607"/>
      <c r="E139" s="608"/>
      <c r="F139" s="609"/>
      <c r="G139" s="647"/>
      <c r="H139" s="642"/>
      <c r="I139" s="131"/>
      <c r="J139" s="131"/>
      <c r="K139" s="1037"/>
      <c r="L139" s="1088" t="s">
        <v>174</v>
      </c>
      <c r="M139" s="1064" t="s">
        <v>174</v>
      </c>
      <c r="N139" s="1064" t="s">
        <v>175</v>
      </c>
      <c r="O139" s="1074">
        <f>'사. 임직원보수 일람표'!G7</f>
        <v>3763000</v>
      </c>
      <c r="P139" s="1069" t="s">
        <v>744</v>
      </c>
      <c r="Q139" s="1096">
        <v>60</v>
      </c>
      <c r="R139" s="1069" t="s">
        <v>744</v>
      </c>
      <c r="S139" s="1097">
        <v>1</v>
      </c>
      <c r="T139" s="1071" t="s">
        <v>410</v>
      </c>
      <c r="U139" s="1090">
        <f t="shared" si="4"/>
        <v>2257800</v>
      </c>
      <c r="Z139" s="1011"/>
    </row>
    <row r="140" spans="1:26" ht="21.75" hidden="1" customHeight="1">
      <c r="A140" s="605"/>
      <c r="B140" s="606"/>
      <c r="C140" s="606"/>
      <c r="D140" s="607"/>
      <c r="E140" s="608"/>
      <c r="F140" s="609"/>
      <c r="G140" s="647"/>
      <c r="H140" s="642"/>
      <c r="I140" s="131"/>
      <c r="J140" s="131"/>
      <c r="K140" s="1037"/>
      <c r="L140" s="1088" t="s">
        <v>174</v>
      </c>
      <c r="M140" s="1064" t="s">
        <v>174</v>
      </c>
      <c r="N140" s="1064" t="s">
        <v>175</v>
      </c>
      <c r="O140" s="1074">
        <f>'사. 임직원보수 일람표'!G8</f>
        <v>3825000</v>
      </c>
      <c r="P140" s="1069" t="s">
        <v>744</v>
      </c>
      <c r="Q140" s="1096">
        <v>60</v>
      </c>
      <c r="R140" s="1069" t="s">
        <v>744</v>
      </c>
      <c r="S140" s="1097">
        <v>1</v>
      </c>
      <c r="T140" s="1071" t="s">
        <v>410</v>
      </c>
      <c r="U140" s="1090">
        <f t="shared" si="4"/>
        <v>2295000</v>
      </c>
      <c r="Z140" s="1011"/>
    </row>
    <row r="141" spans="1:26" ht="21.75" hidden="1" customHeight="1">
      <c r="A141" s="605"/>
      <c r="B141" s="606"/>
      <c r="C141" s="606"/>
      <c r="D141" s="607"/>
      <c r="E141" s="608"/>
      <c r="F141" s="609"/>
      <c r="G141" s="647"/>
      <c r="H141" s="642"/>
      <c r="I141" s="131"/>
      <c r="J141" s="131"/>
      <c r="K141" s="1037"/>
      <c r="L141" s="1088" t="s">
        <v>749</v>
      </c>
      <c r="M141" s="1064" t="s">
        <v>747</v>
      </c>
      <c r="N141" s="1064" t="s">
        <v>182</v>
      </c>
      <c r="O141" s="1074">
        <f>'사. 임직원보수 일람표'!G9</f>
        <v>3244000</v>
      </c>
      <c r="P141" s="1069" t="s">
        <v>744</v>
      </c>
      <c r="Q141" s="1096">
        <v>60</v>
      </c>
      <c r="R141" s="1069" t="s">
        <v>744</v>
      </c>
      <c r="S141" s="1097">
        <v>1</v>
      </c>
      <c r="T141" s="1071" t="s">
        <v>410</v>
      </c>
      <c r="U141" s="1090">
        <f t="shared" si="4"/>
        <v>1946400</v>
      </c>
      <c r="Z141" s="1011"/>
    </row>
    <row r="142" spans="1:26" ht="21.75" hidden="1" customHeight="1">
      <c r="A142" s="605"/>
      <c r="B142" s="606"/>
      <c r="C142" s="606"/>
      <c r="D142" s="607"/>
      <c r="E142" s="608"/>
      <c r="F142" s="609"/>
      <c r="G142" s="647"/>
      <c r="H142" s="642"/>
      <c r="I142" s="131"/>
      <c r="J142" s="131"/>
      <c r="K142" s="1037"/>
      <c r="L142" s="1088" t="s">
        <v>749</v>
      </c>
      <c r="M142" s="1064" t="s">
        <v>747</v>
      </c>
      <c r="N142" s="1064" t="s">
        <v>182</v>
      </c>
      <c r="O142" s="1074">
        <f>'사. 임직원보수 일람표'!G10</f>
        <v>3306000</v>
      </c>
      <c r="P142" s="1069" t="s">
        <v>744</v>
      </c>
      <c r="Q142" s="1096">
        <v>60</v>
      </c>
      <c r="R142" s="1069" t="s">
        <v>744</v>
      </c>
      <c r="S142" s="1097">
        <v>1</v>
      </c>
      <c r="T142" s="1071" t="s">
        <v>410</v>
      </c>
      <c r="U142" s="1090">
        <f t="shared" si="4"/>
        <v>1983600</v>
      </c>
      <c r="Z142" s="1011"/>
    </row>
    <row r="143" spans="1:26" ht="21.75" hidden="1" customHeight="1">
      <c r="A143" s="605"/>
      <c r="B143" s="606"/>
      <c r="C143" s="606"/>
      <c r="D143" s="607"/>
      <c r="E143" s="608"/>
      <c r="F143" s="609"/>
      <c r="G143" s="647"/>
      <c r="H143" s="642"/>
      <c r="I143" s="131"/>
      <c r="J143" s="131"/>
      <c r="K143" s="1037"/>
      <c r="L143" s="1088" t="s">
        <v>750</v>
      </c>
      <c r="M143" s="1064" t="s">
        <v>748</v>
      </c>
      <c r="N143" s="1064" t="s">
        <v>188</v>
      </c>
      <c r="O143" s="1074">
        <f>'사. 임직원보수 일람표'!G11</f>
        <v>3679000</v>
      </c>
      <c r="P143" s="1069" t="s">
        <v>744</v>
      </c>
      <c r="Q143" s="1096">
        <v>60</v>
      </c>
      <c r="R143" s="1069" t="s">
        <v>744</v>
      </c>
      <c r="S143" s="1097">
        <v>1</v>
      </c>
      <c r="T143" s="1071" t="s">
        <v>410</v>
      </c>
      <c r="U143" s="1090">
        <f t="shared" si="4"/>
        <v>2207400</v>
      </c>
      <c r="Z143" s="1011"/>
    </row>
    <row r="144" spans="1:26" ht="21.75" hidden="1" customHeight="1">
      <c r="A144" s="605"/>
      <c r="B144" s="606"/>
      <c r="C144" s="606"/>
      <c r="D144" s="607"/>
      <c r="E144" s="608"/>
      <c r="F144" s="609"/>
      <c r="G144" s="647"/>
      <c r="H144" s="642"/>
      <c r="I144" s="131"/>
      <c r="J144" s="131"/>
      <c r="K144" s="1037"/>
      <c r="L144" s="1088" t="s">
        <v>750</v>
      </c>
      <c r="M144" s="1064" t="s">
        <v>748</v>
      </c>
      <c r="N144" s="1064" t="s">
        <v>188</v>
      </c>
      <c r="O144" s="1074">
        <f>'사. 임직원보수 일람표'!G12</f>
        <v>3724000</v>
      </c>
      <c r="P144" s="1069" t="s">
        <v>744</v>
      </c>
      <c r="Q144" s="1096">
        <v>60</v>
      </c>
      <c r="R144" s="1069" t="s">
        <v>744</v>
      </c>
      <c r="S144" s="1097">
        <v>1</v>
      </c>
      <c r="T144" s="1071" t="s">
        <v>410</v>
      </c>
      <c r="U144" s="1090">
        <f t="shared" si="4"/>
        <v>2234400</v>
      </c>
      <c r="Z144" s="1011"/>
    </row>
    <row r="145" spans="1:26" ht="21.75" hidden="1" customHeight="1">
      <c r="A145" s="605"/>
      <c r="B145" s="606"/>
      <c r="C145" s="606"/>
      <c r="D145" s="607"/>
      <c r="E145" s="608"/>
      <c r="F145" s="609"/>
      <c r="G145" s="647"/>
      <c r="H145" s="642"/>
      <c r="I145" s="131"/>
      <c r="J145" s="131"/>
      <c r="K145" s="1037"/>
      <c r="L145" s="1088" t="s">
        <v>755</v>
      </c>
      <c r="M145" s="1064" t="s">
        <v>748</v>
      </c>
      <c r="N145" s="1064" t="s">
        <v>203</v>
      </c>
      <c r="O145" s="1074">
        <f>'사. 임직원보수 일람표'!G13</f>
        <v>2732000</v>
      </c>
      <c r="P145" s="1069" t="s">
        <v>744</v>
      </c>
      <c r="Q145" s="1096">
        <v>60</v>
      </c>
      <c r="R145" s="1069" t="s">
        <v>744</v>
      </c>
      <c r="S145" s="1097">
        <v>2</v>
      </c>
      <c r="T145" s="1071" t="s">
        <v>410</v>
      </c>
      <c r="U145" s="1090">
        <f>(O145*60%)*S145</f>
        <v>3278400</v>
      </c>
      <c r="Z145" s="1011"/>
    </row>
    <row r="146" spans="1:26" ht="21.75" hidden="1" customHeight="1">
      <c r="A146" s="605"/>
      <c r="B146" s="606"/>
      <c r="C146" s="606"/>
      <c r="D146" s="607"/>
      <c r="E146" s="608"/>
      <c r="F146" s="609"/>
      <c r="G146" s="647"/>
      <c r="H146" s="642"/>
      <c r="I146" s="131"/>
      <c r="J146" s="131"/>
      <c r="K146" s="1037"/>
      <c r="L146" s="1088" t="s">
        <v>193</v>
      </c>
      <c r="M146" s="1064" t="s">
        <v>748</v>
      </c>
      <c r="N146" s="1064" t="s">
        <v>192</v>
      </c>
      <c r="O146" s="1074">
        <f>'사. 임직원보수 일람표'!G15</f>
        <v>3679000</v>
      </c>
      <c r="P146" s="1069" t="s">
        <v>744</v>
      </c>
      <c r="Q146" s="1096">
        <v>60</v>
      </c>
      <c r="R146" s="1069" t="s">
        <v>744</v>
      </c>
      <c r="S146" s="1097">
        <v>1</v>
      </c>
      <c r="T146" s="1071" t="s">
        <v>410</v>
      </c>
      <c r="U146" s="1090">
        <f t="shared" ref="U146:U177" si="5">O146*60%</f>
        <v>2207400</v>
      </c>
      <c r="Z146" s="1011"/>
    </row>
    <row r="147" spans="1:26" ht="21.75" hidden="1" customHeight="1">
      <c r="A147" s="605"/>
      <c r="B147" s="606"/>
      <c r="C147" s="606"/>
      <c r="D147" s="607"/>
      <c r="E147" s="608"/>
      <c r="F147" s="609"/>
      <c r="G147" s="647"/>
      <c r="H147" s="642"/>
      <c r="I147" s="131"/>
      <c r="J147" s="131"/>
      <c r="K147" s="1037"/>
      <c r="L147" s="1088" t="s">
        <v>193</v>
      </c>
      <c r="M147" s="1064"/>
      <c r="N147" s="1064" t="s">
        <v>263</v>
      </c>
      <c r="O147" s="1009">
        <f>'사. 임직원보수 일람표'!G17</f>
        <v>2358000</v>
      </c>
      <c r="P147" s="1069" t="s">
        <v>744</v>
      </c>
      <c r="Q147" s="1096">
        <v>60</v>
      </c>
      <c r="R147" s="1069" t="s">
        <v>744</v>
      </c>
      <c r="S147" s="1097">
        <v>1</v>
      </c>
      <c r="T147" s="1071" t="s">
        <v>410</v>
      </c>
      <c r="U147" s="1090">
        <f t="shared" si="5"/>
        <v>1414800</v>
      </c>
      <c r="Z147" s="1011"/>
    </row>
    <row r="148" spans="1:26" ht="21.75" hidden="1" customHeight="1">
      <c r="A148" s="605"/>
      <c r="B148" s="606"/>
      <c r="C148" s="606"/>
      <c r="D148" s="607"/>
      <c r="E148" s="608"/>
      <c r="F148" s="609"/>
      <c r="G148" s="647"/>
      <c r="H148" s="642"/>
      <c r="I148" s="131"/>
      <c r="J148" s="131"/>
      <c r="K148" s="1037"/>
      <c r="L148" s="1088" t="s">
        <v>194</v>
      </c>
      <c r="M148" s="1064"/>
      <c r="N148" s="1064" t="s">
        <v>195</v>
      </c>
      <c r="O148" s="1009">
        <f>'사. 임직원보수 일람표'!G19</f>
        <v>2880000</v>
      </c>
      <c r="P148" s="1069" t="s">
        <v>744</v>
      </c>
      <c r="Q148" s="1096">
        <v>60</v>
      </c>
      <c r="R148" s="1069" t="s">
        <v>744</v>
      </c>
      <c r="S148" s="1097">
        <v>1</v>
      </c>
      <c r="T148" s="1071" t="s">
        <v>410</v>
      </c>
      <c r="U148" s="1090">
        <f t="shared" si="5"/>
        <v>1728000</v>
      </c>
      <c r="Z148" s="1011"/>
    </row>
    <row r="149" spans="1:26" ht="21.75" hidden="1" customHeight="1">
      <c r="A149" s="605"/>
      <c r="B149" s="606"/>
      <c r="C149" s="606"/>
      <c r="D149" s="607"/>
      <c r="E149" s="608"/>
      <c r="F149" s="609"/>
      <c r="G149" s="647"/>
      <c r="H149" s="642"/>
      <c r="I149" s="131"/>
      <c r="J149" s="131"/>
      <c r="K149" s="1037"/>
      <c r="L149" s="1088" t="s">
        <v>194</v>
      </c>
      <c r="M149" s="1064"/>
      <c r="N149" s="1064" t="s">
        <v>195</v>
      </c>
      <c r="O149" s="1009">
        <f>'사. 임직원보수 일람표'!G20</f>
        <v>2962000</v>
      </c>
      <c r="P149" s="1069" t="s">
        <v>744</v>
      </c>
      <c r="Q149" s="1096">
        <v>60</v>
      </c>
      <c r="R149" s="1069" t="s">
        <v>744</v>
      </c>
      <c r="S149" s="1097">
        <v>1</v>
      </c>
      <c r="T149" s="1071" t="s">
        <v>410</v>
      </c>
      <c r="U149" s="1090">
        <f t="shared" si="5"/>
        <v>1777200</v>
      </c>
      <c r="Z149" s="1011"/>
    </row>
    <row r="150" spans="1:26" ht="21.75" hidden="1" customHeight="1">
      <c r="A150" s="605"/>
      <c r="B150" s="606"/>
      <c r="C150" s="606"/>
      <c r="D150" s="607"/>
      <c r="E150" s="608"/>
      <c r="F150" s="609"/>
      <c r="G150" s="647"/>
      <c r="H150" s="642"/>
      <c r="I150" s="131"/>
      <c r="J150" s="131"/>
      <c r="K150" s="1037"/>
      <c r="L150" s="1088" t="s">
        <v>198</v>
      </c>
      <c r="M150" s="1064"/>
      <c r="N150" s="1064" t="s">
        <v>261</v>
      </c>
      <c r="O150" s="1009">
        <f>'사. 임직원보수 일람표'!G21</f>
        <v>2182000</v>
      </c>
      <c r="P150" s="1069" t="s">
        <v>744</v>
      </c>
      <c r="Q150" s="1096">
        <v>60</v>
      </c>
      <c r="R150" s="1069" t="s">
        <v>744</v>
      </c>
      <c r="S150" s="1097">
        <v>1</v>
      </c>
      <c r="T150" s="1071" t="s">
        <v>410</v>
      </c>
      <c r="U150" s="1090">
        <f t="shared" si="5"/>
        <v>1309200</v>
      </c>
      <c r="Z150" s="1011"/>
    </row>
    <row r="151" spans="1:26" ht="21.75" hidden="1" customHeight="1">
      <c r="A151" s="605"/>
      <c r="B151" s="606"/>
      <c r="C151" s="606"/>
      <c r="D151" s="607"/>
      <c r="E151" s="608"/>
      <c r="F151" s="609"/>
      <c r="G151" s="647"/>
      <c r="H151" s="642"/>
      <c r="I151" s="131"/>
      <c r="J151" s="131"/>
      <c r="K151" s="1037"/>
      <c r="L151" s="1088" t="s">
        <v>198</v>
      </c>
      <c r="M151" s="1064"/>
      <c r="N151" s="1064" t="s">
        <v>199</v>
      </c>
      <c r="O151" s="1009">
        <f>'사. 임직원보수 일람표'!G23</f>
        <v>2358000</v>
      </c>
      <c r="P151" s="1069" t="s">
        <v>744</v>
      </c>
      <c r="Q151" s="1096">
        <v>60</v>
      </c>
      <c r="R151" s="1069" t="s">
        <v>744</v>
      </c>
      <c r="S151" s="1097">
        <v>1</v>
      </c>
      <c r="T151" s="1071" t="s">
        <v>410</v>
      </c>
      <c r="U151" s="1090">
        <f t="shared" si="5"/>
        <v>1414800</v>
      </c>
      <c r="Z151" s="1011"/>
    </row>
    <row r="152" spans="1:26" ht="21.75" hidden="1" customHeight="1">
      <c r="A152" s="605"/>
      <c r="B152" s="606"/>
      <c r="C152" s="606"/>
      <c r="D152" s="607"/>
      <c r="E152" s="608"/>
      <c r="F152" s="609"/>
      <c r="G152" s="647"/>
      <c r="H152" s="642"/>
      <c r="I152" s="131"/>
      <c r="J152" s="131"/>
      <c r="K152" s="1037"/>
      <c r="L152" s="1088" t="s">
        <v>204</v>
      </c>
      <c r="M152" s="1064"/>
      <c r="N152" s="1064" t="s">
        <v>205</v>
      </c>
      <c r="O152" s="1009">
        <f>'사. 임직원보수 일람표'!G25</f>
        <v>2962000</v>
      </c>
      <c r="P152" s="1069" t="s">
        <v>744</v>
      </c>
      <c r="Q152" s="1096">
        <v>60</v>
      </c>
      <c r="R152" s="1069" t="s">
        <v>744</v>
      </c>
      <c r="S152" s="1097">
        <v>1</v>
      </c>
      <c r="T152" s="1071" t="s">
        <v>410</v>
      </c>
      <c r="U152" s="1090">
        <f t="shared" si="5"/>
        <v>1777200</v>
      </c>
      <c r="Z152" s="1011"/>
    </row>
    <row r="153" spans="1:26" ht="21.75" hidden="1" customHeight="1">
      <c r="A153" s="605"/>
      <c r="B153" s="606"/>
      <c r="C153" s="606"/>
      <c r="D153" s="607"/>
      <c r="E153" s="608"/>
      <c r="F153" s="609"/>
      <c r="G153" s="647"/>
      <c r="H153" s="642"/>
      <c r="I153" s="131"/>
      <c r="J153" s="131"/>
      <c r="K153" s="1037"/>
      <c r="L153" s="1088" t="s">
        <v>204</v>
      </c>
      <c r="M153" s="1064"/>
      <c r="N153" s="1064" t="s">
        <v>205</v>
      </c>
      <c r="O153" s="1009">
        <f>'사. 임직원보수 일람표'!G26</f>
        <v>3037000</v>
      </c>
      <c r="P153" s="1069" t="s">
        <v>744</v>
      </c>
      <c r="Q153" s="1096">
        <v>60</v>
      </c>
      <c r="R153" s="1069" t="s">
        <v>744</v>
      </c>
      <c r="S153" s="1097">
        <v>1</v>
      </c>
      <c r="T153" s="1071" t="s">
        <v>410</v>
      </c>
      <c r="U153" s="1090">
        <f t="shared" si="5"/>
        <v>1822200</v>
      </c>
      <c r="Z153" s="1011"/>
    </row>
    <row r="154" spans="1:26" ht="21.75" hidden="1" customHeight="1">
      <c r="A154" s="605"/>
      <c r="B154" s="606"/>
      <c r="C154" s="606"/>
      <c r="D154" s="607"/>
      <c r="E154" s="608"/>
      <c r="F154" s="609"/>
      <c r="G154" s="647"/>
      <c r="H154" s="642"/>
      <c r="I154" s="131"/>
      <c r="J154" s="131"/>
      <c r="K154" s="1037"/>
      <c r="L154" s="1088" t="s">
        <v>767</v>
      </c>
      <c r="M154" s="1064" t="s">
        <v>747</v>
      </c>
      <c r="N154" s="1064" t="s">
        <v>186</v>
      </c>
      <c r="O154" s="1009">
        <f>'사. 임직원보수 일람표'!G27</f>
        <v>3179000</v>
      </c>
      <c r="P154" s="1069" t="s">
        <v>744</v>
      </c>
      <c r="Q154" s="1096">
        <v>60</v>
      </c>
      <c r="R154" s="1069" t="s">
        <v>744</v>
      </c>
      <c r="S154" s="1097">
        <v>1</v>
      </c>
      <c r="T154" s="1071" t="s">
        <v>410</v>
      </c>
      <c r="U154" s="1090">
        <f t="shared" si="5"/>
        <v>1907400</v>
      </c>
      <c r="Z154" s="1011"/>
    </row>
    <row r="155" spans="1:26" ht="21.75" hidden="1" customHeight="1">
      <c r="A155" s="605"/>
      <c r="B155" s="606"/>
      <c r="C155" s="606"/>
      <c r="D155" s="607"/>
      <c r="E155" s="608"/>
      <c r="F155" s="609"/>
      <c r="G155" s="647"/>
      <c r="H155" s="642"/>
      <c r="I155" s="131"/>
      <c r="J155" s="131"/>
      <c r="K155" s="1037"/>
      <c r="L155" s="1088" t="s">
        <v>767</v>
      </c>
      <c r="M155" s="1064" t="s">
        <v>747</v>
      </c>
      <c r="N155" s="1064" t="s">
        <v>186</v>
      </c>
      <c r="O155" s="1009">
        <f>'사. 임직원보수 일람표'!G28</f>
        <v>3244000</v>
      </c>
      <c r="P155" s="1069" t="s">
        <v>744</v>
      </c>
      <c r="Q155" s="1096">
        <v>60</v>
      </c>
      <c r="R155" s="1069" t="s">
        <v>744</v>
      </c>
      <c r="S155" s="1097">
        <v>1</v>
      </c>
      <c r="T155" s="1071" t="s">
        <v>410</v>
      </c>
      <c r="U155" s="1090">
        <f t="shared" si="5"/>
        <v>1946400</v>
      </c>
      <c r="Z155" s="1011"/>
    </row>
    <row r="156" spans="1:26" ht="21.75" hidden="1" customHeight="1">
      <c r="A156" s="605"/>
      <c r="B156" s="606"/>
      <c r="C156" s="606"/>
      <c r="D156" s="607"/>
      <c r="E156" s="608"/>
      <c r="F156" s="609"/>
      <c r="G156" s="647"/>
      <c r="H156" s="642"/>
      <c r="I156" s="131"/>
      <c r="J156" s="131"/>
      <c r="K156" s="1037"/>
      <c r="L156" s="1088" t="s">
        <v>755</v>
      </c>
      <c r="M156" s="1064" t="s">
        <v>748</v>
      </c>
      <c r="N156" s="1064" t="s">
        <v>207</v>
      </c>
      <c r="O156" s="1009">
        <f>'사. 임직원보수 일람표'!G29</f>
        <v>2660000</v>
      </c>
      <c r="P156" s="1069" t="s">
        <v>744</v>
      </c>
      <c r="Q156" s="1096">
        <v>60</v>
      </c>
      <c r="R156" s="1069" t="s">
        <v>744</v>
      </c>
      <c r="S156" s="1097">
        <v>1</v>
      </c>
      <c r="T156" s="1071" t="s">
        <v>410</v>
      </c>
      <c r="U156" s="1090">
        <f t="shared" si="5"/>
        <v>1596000</v>
      </c>
      <c r="Z156" s="1011"/>
    </row>
    <row r="157" spans="1:26" ht="21.75" hidden="1" customHeight="1">
      <c r="A157" s="605"/>
      <c r="B157" s="606"/>
      <c r="C157" s="606"/>
      <c r="D157" s="607"/>
      <c r="E157" s="608"/>
      <c r="F157" s="609"/>
      <c r="G157" s="647"/>
      <c r="H157" s="642"/>
      <c r="I157" s="131"/>
      <c r="J157" s="131"/>
      <c r="K157" s="1037"/>
      <c r="L157" s="1088" t="s">
        <v>755</v>
      </c>
      <c r="M157" s="1064" t="s">
        <v>748</v>
      </c>
      <c r="N157" s="1064" t="s">
        <v>207</v>
      </c>
      <c r="O157" s="1009">
        <f>'사. 임직원보수 일람표'!G30</f>
        <v>2732000</v>
      </c>
      <c r="P157" s="1069" t="s">
        <v>744</v>
      </c>
      <c r="Q157" s="1096">
        <v>60</v>
      </c>
      <c r="R157" s="1069" t="s">
        <v>744</v>
      </c>
      <c r="S157" s="1097">
        <v>1</v>
      </c>
      <c r="T157" s="1071" t="s">
        <v>410</v>
      </c>
      <c r="U157" s="1090">
        <f t="shared" si="5"/>
        <v>1639200</v>
      </c>
      <c r="Z157" s="1011"/>
    </row>
    <row r="158" spans="1:26" ht="21.75" hidden="1" customHeight="1">
      <c r="A158" s="605"/>
      <c r="B158" s="606"/>
      <c r="C158" s="606"/>
      <c r="D158" s="607"/>
      <c r="E158" s="608"/>
      <c r="F158" s="609"/>
      <c r="G158" s="647"/>
      <c r="H158" s="642"/>
      <c r="I158" s="131"/>
      <c r="J158" s="131"/>
      <c r="K158" s="1037"/>
      <c r="L158" s="1088" t="s">
        <v>208</v>
      </c>
      <c r="M158" s="1064"/>
      <c r="N158" s="1064" t="s">
        <v>209</v>
      </c>
      <c r="O158" s="1009">
        <f>'사. 임직원보수 일람표'!G31</f>
        <v>2558000</v>
      </c>
      <c r="P158" s="1069" t="s">
        <v>744</v>
      </c>
      <c r="Q158" s="1096">
        <v>60</v>
      </c>
      <c r="R158" s="1069" t="s">
        <v>744</v>
      </c>
      <c r="S158" s="1097">
        <v>1</v>
      </c>
      <c r="T158" s="1071" t="s">
        <v>410</v>
      </c>
      <c r="U158" s="1090">
        <f t="shared" si="5"/>
        <v>1534800</v>
      </c>
      <c r="Z158" s="1011"/>
    </row>
    <row r="159" spans="1:26" ht="21.75" hidden="1" customHeight="1">
      <c r="A159" s="605"/>
      <c r="B159" s="606"/>
      <c r="C159" s="606"/>
      <c r="D159" s="607"/>
      <c r="E159" s="608"/>
      <c r="F159" s="609"/>
      <c r="G159" s="647"/>
      <c r="H159" s="642"/>
      <c r="I159" s="131"/>
      <c r="J159" s="131"/>
      <c r="K159" s="1037"/>
      <c r="L159" s="1088" t="s">
        <v>208</v>
      </c>
      <c r="M159" s="1064"/>
      <c r="N159" s="1064" t="s">
        <v>209</v>
      </c>
      <c r="O159" s="1009">
        <f>'사. 임직원보수 일람표'!G32</f>
        <v>2624000</v>
      </c>
      <c r="P159" s="1069" t="s">
        <v>744</v>
      </c>
      <c r="Q159" s="1096">
        <v>60</v>
      </c>
      <c r="R159" s="1069" t="s">
        <v>744</v>
      </c>
      <c r="S159" s="1097">
        <v>1</v>
      </c>
      <c r="T159" s="1071" t="s">
        <v>410</v>
      </c>
      <c r="U159" s="1090">
        <f t="shared" si="5"/>
        <v>1574400</v>
      </c>
      <c r="Z159" s="1011"/>
    </row>
    <row r="160" spans="1:26" ht="21.75" hidden="1" customHeight="1">
      <c r="A160" s="605"/>
      <c r="B160" s="606"/>
      <c r="C160" s="606"/>
      <c r="D160" s="607"/>
      <c r="E160" s="608"/>
      <c r="F160" s="609"/>
      <c r="G160" s="647"/>
      <c r="H160" s="642"/>
      <c r="I160" s="131"/>
      <c r="J160" s="131"/>
      <c r="K160" s="1037"/>
      <c r="L160" s="1088" t="s">
        <v>210</v>
      </c>
      <c r="M160" s="1064" t="s">
        <v>748</v>
      </c>
      <c r="N160" s="1064" t="s">
        <v>211</v>
      </c>
      <c r="O160" s="1009">
        <f>'사. 임직원보수 일람표'!G33</f>
        <v>2493000</v>
      </c>
      <c r="P160" s="1069" t="s">
        <v>744</v>
      </c>
      <c r="Q160" s="1096">
        <v>60</v>
      </c>
      <c r="R160" s="1069" t="s">
        <v>744</v>
      </c>
      <c r="S160" s="1097">
        <v>1</v>
      </c>
      <c r="T160" s="1071" t="s">
        <v>410</v>
      </c>
      <c r="U160" s="1090">
        <f t="shared" si="5"/>
        <v>1495800</v>
      </c>
      <c r="Z160" s="1011"/>
    </row>
    <row r="161" spans="1:26" ht="21.75" hidden="1" customHeight="1">
      <c r="A161" s="605"/>
      <c r="B161" s="606"/>
      <c r="C161" s="606"/>
      <c r="D161" s="607"/>
      <c r="E161" s="608"/>
      <c r="F161" s="609"/>
      <c r="G161" s="647"/>
      <c r="H161" s="642"/>
      <c r="I161" s="131"/>
      <c r="J161" s="131"/>
      <c r="K161" s="1037"/>
      <c r="L161" s="1088" t="s">
        <v>210</v>
      </c>
      <c r="M161" s="1064" t="s">
        <v>748</v>
      </c>
      <c r="N161" s="1064" t="s">
        <v>211</v>
      </c>
      <c r="O161" s="1009">
        <f>'사. 임직원보수 일람표'!G34</f>
        <v>2558000</v>
      </c>
      <c r="P161" s="1069" t="s">
        <v>744</v>
      </c>
      <c r="Q161" s="1096">
        <v>60</v>
      </c>
      <c r="R161" s="1069" t="s">
        <v>744</v>
      </c>
      <c r="S161" s="1097">
        <v>1</v>
      </c>
      <c r="T161" s="1071" t="s">
        <v>410</v>
      </c>
      <c r="U161" s="1090">
        <f t="shared" si="5"/>
        <v>1534800</v>
      </c>
      <c r="Z161" s="1011"/>
    </row>
    <row r="162" spans="1:26" ht="21.75" hidden="1" customHeight="1">
      <c r="A162" s="605"/>
      <c r="B162" s="606"/>
      <c r="C162" s="606"/>
      <c r="D162" s="607"/>
      <c r="E162" s="608"/>
      <c r="F162" s="609"/>
      <c r="G162" s="647"/>
      <c r="H162" s="642"/>
      <c r="I162" s="131"/>
      <c r="J162" s="131"/>
      <c r="K162" s="1037"/>
      <c r="L162" s="1088" t="s">
        <v>210</v>
      </c>
      <c r="M162" s="1064"/>
      <c r="N162" s="1064" t="s">
        <v>212</v>
      </c>
      <c r="O162" s="1009">
        <f>'사. 임직원보수 일람표'!G35</f>
        <v>2684000</v>
      </c>
      <c r="P162" s="1069" t="s">
        <v>744</v>
      </c>
      <c r="Q162" s="1096">
        <v>60</v>
      </c>
      <c r="R162" s="1069" t="s">
        <v>744</v>
      </c>
      <c r="S162" s="1097">
        <v>1</v>
      </c>
      <c r="T162" s="1071" t="s">
        <v>410</v>
      </c>
      <c r="U162" s="1090">
        <f t="shared" si="5"/>
        <v>1610400</v>
      </c>
      <c r="Z162" s="1011"/>
    </row>
    <row r="163" spans="1:26" ht="21.75" hidden="1" customHeight="1">
      <c r="A163" s="605"/>
      <c r="B163" s="606"/>
      <c r="C163" s="606"/>
      <c r="D163" s="607"/>
      <c r="E163" s="608"/>
      <c r="F163" s="609"/>
      <c r="G163" s="647"/>
      <c r="H163" s="642"/>
      <c r="I163" s="131"/>
      <c r="J163" s="131"/>
      <c r="K163" s="1037"/>
      <c r="L163" s="1088" t="s">
        <v>210</v>
      </c>
      <c r="M163" s="1064"/>
      <c r="N163" s="1064" t="s">
        <v>212</v>
      </c>
      <c r="O163" s="1009">
        <f>'사. 임직원보수 일람표'!G36</f>
        <v>2742000</v>
      </c>
      <c r="P163" s="1069" t="s">
        <v>744</v>
      </c>
      <c r="Q163" s="1096">
        <v>60</v>
      </c>
      <c r="R163" s="1069" t="s">
        <v>744</v>
      </c>
      <c r="S163" s="1097">
        <v>1</v>
      </c>
      <c r="T163" s="1071" t="s">
        <v>410</v>
      </c>
      <c r="U163" s="1090">
        <f t="shared" si="5"/>
        <v>1645200</v>
      </c>
      <c r="Z163" s="1011"/>
    </row>
    <row r="164" spans="1:26" ht="21.75" hidden="1" customHeight="1">
      <c r="A164" s="605"/>
      <c r="B164" s="606"/>
      <c r="C164" s="606"/>
      <c r="D164" s="607"/>
      <c r="E164" s="608"/>
      <c r="F164" s="609"/>
      <c r="G164" s="647"/>
      <c r="H164" s="642"/>
      <c r="I164" s="131"/>
      <c r="J164" s="131"/>
      <c r="K164" s="1037"/>
      <c r="L164" s="1088" t="s">
        <v>210</v>
      </c>
      <c r="M164" s="1064"/>
      <c r="N164" s="1064" t="s">
        <v>213</v>
      </c>
      <c r="O164" s="1009">
        <f>'사. 임직원보수 일람표'!G37</f>
        <v>2365000</v>
      </c>
      <c r="P164" s="1069" t="s">
        <v>744</v>
      </c>
      <c r="Q164" s="1096">
        <v>60</v>
      </c>
      <c r="R164" s="1069" t="s">
        <v>744</v>
      </c>
      <c r="S164" s="1097">
        <v>1</v>
      </c>
      <c r="T164" s="1071" t="s">
        <v>410</v>
      </c>
      <c r="U164" s="1090">
        <f t="shared" si="5"/>
        <v>1419000</v>
      </c>
      <c r="Z164" s="1011"/>
    </row>
    <row r="165" spans="1:26" ht="21.75" hidden="1" customHeight="1">
      <c r="A165" s="605"/>
      <c r="B165" s="606"/>
      <c r="C165" s="606"/>
      <c r="D165" s="607"/>
      <c r="E165" s="608"/>
      <c r="F165" s="609"/>
      <c r="G165" s="647"/>
      <c r="H165" s="642"/>
      <c r="I165" s="131"/>
      <c r="J165" s="131"/>
      <c r="K165" s="1037"/>
      <c r="L165" s="1088" t="s">
        <v>210</v>
      </c>
      <c r="M165" s="1064"/>
      <c r="N165" s="1064" t="s">
        <v>213</v>
      </c>
      <c r="O165" s="1009">
        <f>'사. 임직원보수 일람표'!G38</f>
        <v>2428000</v>
      </c>
      <c r="P165" s="1069" t="s">
        <v>744</v>
      </c>
      <c r="Q165" s="1096">
        <v>60</v>
      </c>
      <c r="R165" s="1069" t="s">
        <v>744</v>
      </c>
      <c r="S165" s="1097">
        <v>1</v>
      </c>
      <c r="T165" s="1071" t="s">
        <v>410</v>
      </c>
      <c r="U165" s="1090">
        <f t="shared" si="5"/>
        <v>1456800</v>
      </c>
      <c r="Z165" s="1011"/>
    </row>
    <row r="166" spans="1:26" ht="21.75" hidden="1" customHeight="1">
      <c r="A166" s="605"/>
      <c r="B166" s="606"/>
      <c r="C166" s="606"/>
      <c r="D166" s="607"/>
      <c r="E166" s="608"/>
      <c r="F166" s="609"/>
      <c r="G166" s="647"/>
      <c r="H166" s="642"/>
      <c r="I166" s="131"/>
      <c r="J166" s="131"/>
      <c r="K166" s="1037"/>
      <c r="L166" s="1088" t="s">
        <v>210</v>
      </c>
      <c r="M166" s="1064"/>
      <c r="N166" s="1064" t="s">
        <v>216</v>
      </c>
      <c r="O166" s="1009">
        <f>'사. 임직원보수 일람표'!G39</f>
        <v>2558000</v>
      </c>
      <c r="P166" s="1069" t="s">
        <v>744</v>
      </c>
      <c r="Q166" s="1096">
        <v>60</v>
      </c>
      <c r="R166" s="1069" t="s">
        <v>744</v>
      </c>
      <c r="S166" s="1097">
        <v>1</v>
      </c>
      <c r="T166" s="1071" t="s">
        <v>410</v>
      </c>
      <c r="U166" s="1090">
        <f t="shared" si="5"/>
        <v>1534800</v>
      </c>
      <c r="Z166" s="1011"/>
    </row>
    <row r="167" spans="1:26" ht="21.75" hidden="1" customHeight="1">
      <c r="A167" s="605"/>
      <c r="B167" s="606"/>
      <c r="C167" s="606"/>
      <c r="D167" s="607"/>
      <c r="E167" s="608"/>
      <c r="F167" s="609"/>
      <c r="G167" s="647"/>
      <c r="H167" s="642"/>
      <c r="I167" s="131"/>
      <c r="J167" s="131"/>
      <c r="K167" s="1037"/>
      <c r="L167" s="1088" t="s">
        <v>210</v>
      </c>
      <c r="M167" s="1064"/>
      <c r="N167" s="1064" t="s">
        <v>216</v>
      </c>
      <c r="O167" s="1009">
        <f>'사. 임직원보수 일람표'!G40</f>
        <v>2624000</v>
      </c>
      <c r="P167" s="1069" t="s">
        <v>744</v>
      </c>
      <c r="Q167" s="1096">
        <v>60</v>
      </c>
      <c r="R167" s="1069" t="s">
        <v>744</v>
      </c>
      <c r="S167" s="1097">
        <v>1</v>
      </c>
      <c r="T167" s="1071" t="s">
        <v>410</v>
      </c>
      <c r="U167" s="1090">
        <f t="shared" si="5"/>
        <v>1574400</v>
      </c>
      <c r="Z167" s="1011"/>
    </row>
    <row r="168" spans="1:26" ht="21.75" hidden="1" customHeight="1">
      <c r="A168" s="605"/>
      <c r="B168" s="606"/>
      <c r="C168" s="606"/>
      <c r="D168" s="607"/>
      <c r="E168" s="608"/>
      <c r="F168" s="609"/>
      <c r="G168" s="647"/>
      <c r="H168" s="642"/>
      <c r="I168" s="131"/>
      <c r="J168" s="131"/>
      <c r="K168" s="1037"/>
      <c r="L168" s="1088" t="s">
        <v>210</v>
      </c>
      <c r="M168" s="1064" t="s">
        <v>748</v>
      </c>
      <c r="N168" s="1064" t="s">
        <v>217</v>
      </c>
      <c r="O168" s="1009">
        <f>'사. 임직원보수 일람표'!G41</f>
        <v>2624000</v>
      </c>
      <c r="P168" s="1069" t="s">
        <v>744</v>
      </c>
      <c r="Q168" s="1096">
        <v>60</v>
      </c>
      <c r="R168" s="1069" t="s">
        <v>744</v>
      </c>
      <c r="S168" s="1097">
        <v>1</v>
      </c>
      <c r="T168" s="1071" t="s">
        <v>410</v>
      </c>
      <c r="U168" s="1090">
        <f t="shared" si="5"/>
        <v>1574400</v>
      </c>
      <c r="Z168" s="1011"/>
    </row>
    <row r="169" spans="1:26" ht="21.75" hidden="1" customHeight="1">
      <c r="A169" s="605"/>
      <c r="B169" s="606"/>
      <c r="C169" s="606"/>
      <c r="D169" s="607"/>
      <c r="E169" s="608"/>
      <c r="F169" s="609"/>
      <c r="G169" s="647"/>
      <c r="H169" s="642"/>
      <c r="I169" s="131"/>
      <c r="J169" s="131"/>
      <c r="K169" s="1037"/>
      <c r="L169" s="1088" t="s">
        <v>210</v>
      </c>
      <c r="M169" s="1064" t="s">
        <v>748</v>
      </c>
      <c r="N169" s="1064" t="s">
        <v>217</v>
      </c>
      <c r="O169" s="1009">
        <f>'사. 임직원보수 일람표'!G42</f>
        <v>2684000</v>
      </c>
      <c r="P169" s="1069" t="s">
        <v>744</v>
      </c>
      <c r="Q169" s="1096">
        <v>60</v>
      </c>
      <c r="R169" s="1069" t="s">
        <v>744</v>
      </c>
      <c r="S169" s="1097">
        <v>1</v>
      </c>
      <c r="T169" s="1071" t="s">
        <v>410</v>
      </c>
      <c r="U169" s="1090">
        <f t="shared" si="5"/>
        <v>1610400</v>
      </c>
      <c r="Z169" s="1011"/>
    </row>
    <row r="170" spans="1:26" ht="21.75" hidden="1" customHeight="1">
      <c r="A170" s="605"/>
      <c r="B170" s="606"/>
      <c r="C170" s="606"/>
      <c r="D170" s="607"/>
      <c r="E170" s="608"/>
      <c r="F170" s="609"/>
      <c r="G170" s="647"/>
      <c r="H170" s="642"/>
      <c r="I170" s="131"/>
      <c r="J170" s="131"/>
      <c r="K170" s="1037"/>
      <c r="L170" s="1088" t="s">
        <v>210</v>
      </c>
      <c r="M170" s="1064" t="s">
        <v>748</v>
      </c>
      <c r="N170" s="1064" t="s">
        <v>218</v>
      </c>
      <c r="O170" s="1009">
        <f>'사. 임직원보수 일람표'!G43</f>
        <v>2428000</v>
      </c>
      <c r="P170" s="1069" t="s">
        <v>744</v>
      </c>
      <c r="Q170" s="1096">
        <v>60</v>
      </c>
      <c r="R170" s="1069" t="s">
        <v>744</v>
      </c>
      <c r="S170" s="1097">
        <v>1</v>
      </c>
      <c r="T170" s="1071" t="s">
        <v>410</v>
      </c>
      <c r="U170" s="1090">
        <f t="shared" si="5"/>
        <v>1456800</v>
      </c>
      <c r="Z170" s="1011"/>
    </row>
    <row r="171" spans="1:26" ht="21.75" hidden="1" customHeight="1">
      <c r="A171" s="605"/>
      <c r="B171" s="606"/>
      <c r="C171" s="606"/>
      <c r="D171" s="607"/>
      <c r="E171" s="608"/>
      <c r="F171" s="609"/>
      <c r="G171" s="647"/>
      <c r="H171" s="642"/>
      <c r="I171" s="131"/>
      <c r="J171" s="131"/>
      <c r="K171" s="1037"/>
      <c r="L171" s="1088" t="s">
        <v>210</v>
      </c>
      <c r="M171" s="1064" t="s">
        <v>748</v>
      </c>
      <c r="N171" s="1064" t="s">
        <v>218</v>
      </c>
      <c r="O171" s="1009">
        <f>'사. 임직원보수 일람표'!G44</f>
        <v>2693000</v>
      </c>
      <c r="P171" s="1069" t="s">
        <v>744</v>
      </c>
      <c r="Q171" s="1096">
        <v>60</v>
      </c>
      <c r="R171" s="1069" t="s">
        <v>744</v>
      </c>
      <c r="S171" s="1097">
        <v>1</v>
      </c>
      <c r="T171" s="1071" t="s">
        <v>410</v>
      </c>
      <c r="U171" s="1090">
        <f t="shared" si="5"/>
        <v>1615800</v>
      </c>
      <c r="Z171" s="1011"/>
    </row>
    <row r="172" spans="1:26" ht="21.75" hidden="1" customHeight="1">
      <c r="A172" s="605"/>
      <c r="B172" s="606"/>
      <c r="C172" s="606"/>
      <c r="D172" s="607"/>
      <c r="E172" s="608"/>
      <c r="F172" s="609"/>
      <c r="G172" s="647"/>
      <c r="H172" s="642"/>
      <c r="I172" s="131"/>
      <c r="J172" s="131"/>
      <c r="K172" s="1037"/>
      <c r="L172" s="1088" t="s">
        <v>210</v>
      </c>
      <c r="M172" s="1064" t="s">
        <v>748</v>
      </c>
      <c r="N172" s="1064" t="s">
        <v>219</v>
      </c>
      <c r="O172" s="1009">
        <f>'사. 임직원보수 일람표'!G45</f>
        <v>2304000</v>
      </c>
      <c r="P172" s="1069" t="s">
        <v>744</v>
      </c>
      <c r="Q172" s="1096">
        <v>60</v>
      </c>
      <c r="R172" s="1069" t="s">
        <v>744</v>
      </c>
      <c r="S172" s="1097">
        <v>1</v>
      </c>
      <c r="T172" s="1071" t="s">
        <v>410</v>
      </c>
      <c r="U172" s="1090">
        <f t="shared" si="5"/>
        <v>1382400</v>
      </c>
      <c r="Z172" s="1011"/>
    </row>
    <row r="173" spans="1:26" ht="21.75" hidden="1" customHeight="1">
      <c r="A173" s="605"/>
      <c r="B173" s="606"/>
      <c r="C173" s="606"/>
      <c r="D173" s="607"/>
      <c r="E173" s="608"/>
      <c r="F173" s="609"/>
      <c r="G173" s="647"/>
      <c r="H173" s="642"/>
      <c r="I173" s="131"/>
      <c r="J173" s="131"/>
      <c r="K173" s="1037"/>
      <c r="L173" s="1088" t="s">
        <v>210</v>
      </c>
      <c r="M173" s="1064" t="s">
        <v>748</v>
      </c>
      <c r="N173" s="1064" t="s">
        <v>219</v>
      </c>
      <c r="O173" s="1009">
        <f>'사. 임직원보수 일람표'!G46</f>
        <v>2365000</v>
      </c>
      <c r="P173" s="1069" t="s">
        <v>744</v>
      </c>
      <c r="Q173" s="1096">
        <v>60</v>
      </c>
      <c r="R173" s="1069" t="s">
        <v>744</v>
      </c>
      <c r="S173" s="1097">
        <v>1</v>
      </c>
      <c r="T173" s="1071" t="s">
        <v>410</v>
      </c>
      <c r="U173" s="1090">
        <f t="shared" si="5"/>
        <v>1419000</v>
      </c>
      <c r="Z173" s="1011"/>
    </row>
    <row r="174" spans="1:26" ht="21.75" hidden="1" customHeight="1">
      <c r="A174" s="605"/>
      <c r="B174" s="606"/>
      <c r="C174" s="606"/>
      <c r="D174" s="607"/>
      <c r="E174" s="608"/>
      <c r="F174" s="609"/>
      <c r="G174" s="647"/>
      <c r="H174" s="642"/>
      <c r="I174" s="131"/>
      <c r="J174" s="131"/>
      <c r="K174" s="1037"/>
      <c r="L174" s="1088" t="s">
        <v>210</v>
      </c>
      <c r="M174" s="1064"/>
      <c r="N174" s="1064" t="s">
        <v>222</v>
      </c>
      <c r="O174" s="1009">
        <f>'사. 임직원보수 일람표'!G47</f>
        <v>2304000</v>
      </c>
      <c r="P174" s="1069" t="s">
        <v>744</v>
      </c>
      <c r="Q174" s="1096">
        <v>60</v>
      </c>
      <c r="R174" s="1069" t="s">
        <v>744</v>
      </c>
      <c r="S174" s="1097">
        <v>1</v>
      </c>
      <c r="T174" s="1071" t="s">
        <v>410</v>
      </c>
      <c r="U174" s="1090">
        <f t="shared" si="5"/>
        <v>1382400</v>
      </c>
      <c r="Z174" s="1011"/>
    </row>
    <row r="175" spans="1:26" ht="21.75" hidden="1" customHeight="1">
      <c r="A175" s="605"/>
      <c r="B175" s="606"/>
      <c r="C175" s="606"/>
      <c r="D175" s="607"/>
      <c r="E175" s="608"/>
      <c r="F175" s="609"/>
      <c r="G175" s="647"/>
      <c r="H175" s="642"/>
      <c r="I175" s="131"/>
      <c r="J175" s="131"/>
      <c r="K175" s="1037"/>
      <c r="L175" s="1088" t="s">
        <v>210</v>
      </c>
      <c r="M175" s="1064"/>
      <c r="N175" s="1064" t="s">
        <v>222</v>
      </c>
      <c r="O175" s="1009">
        <f>'사. 임직원보수 일람표'!G48</f>
        <v>2365000</v>
      </c>
      <c r="P175" s="1069" t="s">
        <v>744</v>
      </c>
      <c r="Q175" s="1096">
        <v>60</v>
      </c>
      <c r="R175" s="1069" t="s">
        <v>744</v>
      </c>
      <c r="S175" s="1097">
        <v>1</v>
      </c>
      <c r="T175" s="1071" t="s">
        <v>410</v>
      </c>
      <c r="U175" s="1090">
        <f t="shared" si="5"/>
        <v>1419000</v>
      </c>
      <c r="Z175" s="1011"/>
    </row>
    <row r="176" spans="1:26" ht="21.75" hidden="1" customHeight="1">
      <c r="A176" s="605"/>
      <c r="B176" s="606"/>
      <c r="C176" s="606"/>
      <c r="D176" s="607"/>
      <c r="E176" s="608"/>
      <c r="F176" s="609"/>
      <c r="G176" s="647"/>
      <c r="H176" s="642"/>
      <c r="I176" s="131"/>
      <c r="J176" s="131"/>
      <c r="K176" s="1037"/>
      <c r="L176" s="1088" t="s">
        <v>210</v>
      </c>
      <c r="M176" s="1064"/>
      <c r="N176" s="1064" t="s">
        <v>223</v>
      </c>
      <c r="O176" s="1009">
        <f>'사. 임직원보수 일람표'!G49</f>
        <v>2493000</v>
      </c>
      <c r="P176" s="1069" t="s">
        <v>744</v>
      </c>
      <c r="Q176" s="1096">
        <v>60</v>
      </c>
      <c r="R176" s="1069" t="s">
        <v>744</v>
      </c>
      <c r="S176" s="1097">
        <v>1</v>
      </c>
      <c r="T176" s="1071" t="s">
        <v>410</v>
      </c>
      <c r="U176" s="1090">
        <f t="shared" si="5"/>
        <v>1495800</v>
      </c>
      <c r="Z176" s="1011"/>
    </row>
    <row r="177" spans="1:26" ht="21.75" hidden="1" customHeight="1">
      <c r="A177" s="605"/>
      <c r="B177" s="606"/>
      <c r="C177" s="606"/>
      <c r="D177" s="607"/>
      <c r="E177" s="608"/>
      <c r="F177" s="609"/>
      <c r="G177" s="647"/>
      <c r="H177" s="642"/>
      <c r="I177" s="131"/>
      <c r="J177" s="131"/>
      <c r="K177" s="1037"/>
      <c r="L177" s="1088" t="s">
        <v>210</v>
      </c>
      <c r="M177" s="1064"/>
      <c r="N177" s="1064" t="s">
        <v>224</v>
      </c>
      <c r="O177" s="1009">
        <f>'사. 임직원보수 일람표'!G51</f>
        <v>2365000</v>
      </c>
      <c r="P177" s="1069" t="s">
        <v>744</v>
      </c>
      <c r="Q177" s="1096">
        <v>60</v>
      </c>
      <c r="R177" s="1069" t="s">
        <v>744</v>
      </c>
      <c r="S177" s="1097">
        <v>1</v>
      </c>
      <c r="T177" s="1071" t="s">
        <v>410</v>
      </c>
      <c r="U177" s="1090">
        <f t="shared" si="5"/>
        <v>1419000</v>
      </c>
      <c r="Z177" s="1011"/>
    </row>
    <row r="178" spans="1:26" ht="21.75" hidden="1" customHeight="1">
      <c r="A178" s="605"/>
      <c r="B178" s="606"/>
      <c r="C178" s="606"/>
      <c r="D178" s="607"/>
      <c r="E178" s="608"/>
      <c r="F178" s="609"/>
      <c r="G178" s="647"/>
      <c r="H178" s="642"/>
      <c r="I178" s="131"/>
      <c r="J178" s="131"/>
      <c r="K178" s="1037"/>
      <c r="L178" s="1088" t="s">
        <v>210</v>
      </c>
      <c r="M178" s="1064"/>
      <c r="N178" s="1064" t="s">
        <v>224</v>
      </c>
      <c r="O178" s="1009">
        <f>'사. 임직원보수 일람표'!G52</f>
        <v>2428000</v>
      </c>
      <c r="P178" s="1069" t="s">
        <v>744</v>
      </c>
      <c r="Q178" s="1096">
        <v>60</v>
      </c>
      <c r="R178" s="1069" t="s">
        <v>744</v>
      </c>
      <c r="S178" s="1097">
        <v>1</v>
      </c>
      <c r="T178" s="1071" t="s">
        <v>410</v>
      </c>
      <c r="U178" s="1090">
        <f t="shared" ref="U178:U195" si="6">O178*60%</f>
        <v>1456800</v>
      </c>
      <c r="Z178" s="1011"/>
    </row>
    <row r="179" spans="1:26" ht="21.75" hidden="1" customHeight="1">
      <c r="A179" s="605"/>
      <c r="B179" s="606"/>
      <c r="C179" s="606"/>
      <c r="D179" s="607"/>
      <c r="E179" s="608"/>
      <c r="F179" s="609"/>
      <c r="G179" s="647"/>
      <c r="H179" s="642"/>
      <c r="I179" s="131"/>
      <c r="J179" s="131"/>
      <c r="K179" s="1037"/>
      <c r="L179" s="1088" t="s">
        <v>210</v>
      </c>
      <c r="M179" s="1064"/>
      <c r="N179" s="1064" t="s">
        <v>225</v>
      </c>
      <c r="O179" s="1009">
        <f>'사. 임직원보수 일람표'!G53</f>
        <v>2428000</v>
      </c>
      <c r="P179" s="1069" t="s">
        <v>744</v>
      </c>
      <c r="Q179" s="1096">
        <v>60</v>
      </c>
      <c r="R179" s="1069" t="s">
        <v>744</v>
      </c>
      <c r="S179" s="1097">
        <v>1</v>
      </c>
      <c r="T179" s="1071" t="s">
        <v>410</v>
      </c>
      <c r="U179" s="1090">
        <f t="shared" si="6"/>
        <v>1456800</v>
      </c>
      <c r="Z179" s="1011"/>
    </row>
    <row r="180" spans="1:26" ht="21.75" hidden="1" customHeight="1">
      <c r="A180" s="605"/>
      <c r="B180" s="606"/>
      <c r="C180" s="606"/>
      <c r="D180" s="607"/>
      <c r="E180" s="608"/>
      <c r="F180" s="609"/>
      <c r="G180" s="647"/>
      <c r="H180" s="642"/>
      <c r="I180" s="131"/>
      <c r="J180" s="131"/>
      <c r="K180" s="1037"/>
      <c r="L180" s="1088" t="s">
        <v>210</v>
      </c>
      <c r="M180" s="1064"/>
      <c r="N180" s="1064" t="s">
        <v>225</v>
      </c>
      <c r="O180" s="1009">
        <f>'사. 임직원보수 일람표'!G54</f>
        <v>2493000</v>
      </c>
      <c r="P180" s="1069" t="s">
        <v>744</v>
      </c>
      <c r="Q180" s="1096">
        <v>60</v>
      </c>
      <c r="R180" s="1069" t="s">
        <v>744</v>
      </c>
      <c r="S180" s="1097">
        <v>1</v>
      </c>
      <c r="T180" s="1071" t="s">
        <v>410</v>
      </c>
      <c r="U180" s="1090">
        <f t="shared" si="6"/>
        <v>1495800</v>
      </c>
      <c r="Z180" s="1011"/>
    </row>
    <row r="181" spans="1:26" ht="21.75" hidden="1" customHeight="1">
      <c r="A181" s="605"/>
      <c r="B181" s="606"/>
      <c r="C181" s="606"/>
      <c r="D181" s="607"/>
      <c r="E181" s="608"/>
      <c r="F181" s="609"/>
      <c r="G181" s="647"/>
      <c r="H181" s="642"/>
      <c r="I181" s="131"/>
      <c r="J181" s="131"/>
      <c r="K181" s="1037"/>
      <c r="L181" s="1088" t="s">
        <v>210</v>
      </c>
      <c r="M181" s="1064"/>
      <c r="N181" s="1064" t="s">
        <v>226</v>
      </c>
      <c r="O181" s="1009">
        <f>'사. 임직원보수 일람표'!G55</f>
        <v>2428000</v>
      </c>
      <c r="P181" s="1069" t="s">
        <v>744</v>
      </c>
      <c r="Q181" s="1096">
        <v>60</v>
      </c>
      <c r="R181" s="1069" t="s">
        <v>744</v>
      </c>
      <c r="S181" s="1097">
        <v>1</v>
      </c>
      <c r="T181" s="1071" t="s">
        <v>410</v>
      </c>
      <c r="U181" s="1090">
        <f t="shared" si="6"/>
        <v>1456800</v>
      </c>
      <c r="Z181" s="1011"/>
    </row>
    <row r="182" spans="1:26" ht="21.75" hidden="1" customHeight="1">
      <c r="A182" s="605"/>
      <c r="B182" s="606"/>
      <c r="C182" s="606"/>
      <c r="D182" s="607"/>
      <c r="E182" s="608"/>
      <c r="F182" s="609"/>
      <c r="G182" s="647"/>
      <c r="H182" s="642"/>
      <c r="I182" s="131"/>
      <c r="J182" s="131"/>
      <c r="K182" s="1037"/>
      <c r="L182" s="1088" t="s">
        <v>210</v>
      </c>
      <c r="M182" s="1064"/>
      <c r="N182" s="1064" t="s">
        <v>227</v>
      </c>
      <c r="O182" s="1009">
        <f>'사. 임직원보수 일람표'!G57</f>
        <v>2304000</v>
      </c>
      <c r="P182" s="1069" t="s">
        <v>744</v>
      </c>
      <c r="Q182" s="1096">
        <v>60</v>
      </c>
      <c r="R182" s="1069" t="s">
        <v>744</v>
      </c>
      <c r="S182" s="1097">
        <v>1</v>
      </c>
      <c r="T182" s="1071" t="s">
        <v>410</v>
      </c>
      <c r="U182" s="1090">
        <f t="shared" si="6"/>
        <v>1382400</v>
      </c>
      <c r="Z182" s="1011"/>
    </row>
    <row r="183" spans="1:26" ht="21.75" hidden="1" customHeight="1">
      <c r="A183" s="605"/>
      <c r="B183" s="606"/>
      <c r="C183" s="606"/>
      <c r="D183" s="607"/>
      <c r="E183" s="608"/>
      <c r="F183" s="609"/>
      <c r="G183" s="647"/>
      <c r="H183" s="642"/>
      <c r="I183" s="131"/>
      <c r="J183" s="131"/>
      <c r="K183" s="1037"/>
      <c r="L183" s="1088" t="s">
        <v>210</v>
      </c>
      <c r="M183" s="1064"/>
      <c r="N183" s="1064" t="s">
        <v>227</v>
      </c>
      <c r="O183" s="1009">
        <f>'사. 임직원보수 일람표'!G58</f>
        <v>2365000</v>
      </c>
      <c r="P183" s="1069" t="s">
        <v>744</v>
      </c>
      <c r="Q183" s="1096">
        <v>60</v>
      </c>
      <c r="R183" s="1069" t="s">
        <v>744</v>
      </c>
      <c r="S183" s="1097">
        <v>1</v>
      </c>
      <c r="T183" s="1071" t="s">
        <v>410</v>
      </c>
      <c r="U183" s="1090">
        <f t="shared" si="6"/>
        <v>1419000</v>
      </c>
      <c r="Z183" s="1011"/>
    </row>
    <row r="184" spans="1:26" ht="21.75" hidden="1" customHeight="1">
      <c r="A184" s="605"/>
      <c r="B184" s="606"/>
      <c r="C184" s="606"/>
      <c r="D184" s="607"/>
      <c r="E184" s="608"/>
      <c r="F184" s="609"/>
      <c r="G184" s="647"/>
      <c r="H184" s="642"/>
      <c r="I184" s="131"/>
      <c r="J184" s="131"/>
      <c r="K184" s="1037"/>
      <c r="L184" s="1088" t="s">
        <v>210</v>
      </c>
      <c r="M184" s="1064"/>
      <c r="N184" s="1064" t="s">
        <v>228</v>
      </c>
      <c r="O184" s="1009">
        <f>'사. 임직원보수 일람표'!G59</f>
        <v>2175000</v>
      </c>
      <c r="P184" s="1069" t="s">
        <v>744</v>
      </c>
      <c r="Q184" s="1096">
        <v>60</v>
      </c>
      <c r="R184" s="1069" t="s">
        <v>744</v>
      </c>
      <c r="S184" s="1097">
        <v>1</v>
      </c>
      <c r="T184" s="1071" t="s">
        <v>410</v>
      </c>
      <c r="U184" s="1090">
        <f t="shared" si="6"/>
        <v>1305000</v>
      </c>
      <c r="Z184" s="1011"/>
    </row>
    <row r="185" spans="1:26" ht="21.75" hidden="1" customHeight="1">
      <c r="A185" s="605"/>
      <c r="B185" s="606"/>
      <c r="C185" s="606"/>
      <c r="D185" s="607"/>
      <c r="E185" s="608"/>
      <c r="F185" s="609"/>
      <c r="G185" s="647"/>
      <c r="H185" s="642"/>
      <c r="I185" s="131"/>
      <c r="J185" s="131"/>
      <c r="K185" s="1037"/>
      <c r="L185" s="1088" t="s">
        <v>210</v>
      </c>
      <c r="M185" s="1064"/>
      <c r="N185" s="1064" t="s">
        <v>228</v>
      </c>
      <c r="O185" s="1009">
        <f>'사. 임직원보수 일람표'!G60</f>
        <v>2241000</v>
      </c>
      <c r="P185" s="1069" t="s">
        <v>744</v>
      </c>
      <c r="Q185" s="1096">
        <v>60</v>
      </c>
      <c r="R185" s="1069" t="s">
        <v>744</v>
      </c>
      <c r="S185" s="1097">
        <v>1</v>
      </c>
      <c r="T185" s="1071" t="s">
        <v>410</v>
      </c>
      <c r="U185" s="1090">
        <f t="shared" si="6"/>
        <v>1344600</v>
      </c>
      <c r="Z185" s="1011"/>
    </row>
    <row r="186" spans="1:26" ht="21.75" hidden="1" customHeight="1">
      <c r="A186" s="605"/>
      <c r="B186" s="606"/>
      <c r="C186" s="606"/>
      <c r="D186" s="607"/>
      <c r="E186" s="608"/>
      <c r="F186" s="609"/>
      <c r="G186" s="647"/>
      <c r="H186" s="642"/>
      <c r="I186" s="131"/>
      <c r="J186" s="131"/>
      <c r="K186" s="1037"/>
      <c r="L186" s="1088" t="s">
        <v>210</v>
      </c>
      <c r="M186" s="1064"/>
      <c r="N186" s="1064" t="s">
        <v>230</v>
      </c>
      <c r="O186" s="1009">
        <f>'사. 임직원보수 일람표'!G61</f>
        <v>2047000</v>
      </c>
      <c r="P186" s="1069" t="s">
        <v>744</v>
      </c>
      <c r="Q186" s="1096">
        <v>60</v>
      </c>
      <c r="R186" s="1069" t="s">
        <v>744</v>
      </c>
      <c r="S186" s="1097">
        <v>1</v>
      </c>
      <c r="T186" s="1071" t="s">
        <v>410</v>
      </c>
      <c r="U186" s="1090">
        <f t="shared" si="6"/>
        <v>1228200</v>
      </c>
      <c r="Z186" s="1011"/>
    </row>
    <row r="187" spans="1:26" ht="21.75" hidden="1" customHeight="1">
      <c r="A187" s="605"/>
      <c r="B187" s="606"/>
      <c r="C187" s="606"/>
      <c r="D187" s="607"/>
      <c r="E187" s="608"/>
      <c r="F187" s="609"/>
      <c r="G187" s="647"/>
      <c r="H187" s="642"/>
      <c r="I187" s="131"/>
      <c r="J187" s="131"/>
      <c r="K187" s="1037"/>
      <c r="L187" s="1088" t="s">
        <v>210</v>
      </c>
      <c r="M187" s="1064"/>
      <c r="N187" s="1064" t="s">
        <v>230</v>
      </c>
      <c r="O187" s="1009">
        <f>'사. 임직원보수 일람표'!G62</f>
        <v>2109000</v>
      </c>
      <c r="P187" s="1069" t="s">
        <v>744</v>
      </c>
      <c r="Q187" s="1096">
        <v>60</v>
      </c>
      <c r="R187" s="1069" t="s">
        <v>744</v>
      </c>
      <c r="S187" s="1097">
        <v>1</v>
      </c>
      <c r="T187" s="1071" t="s">
        <v>410</v>
      </c>
      <c r="U187" s="1090">
        <f t="shared" si="6"/>
        <v>1265400</v>
      </c>
      <c r="Z187" s="1011"/>
    </row>
    <row r="188" spans="1:26" ht="21.75" hidden="1" customHeight="1">
      <c r="A188" s="605"/>
      <c r="B188" s="606"/>
      <c r="C188" s="606"/>
      <c r="D188" s="607"/>
      <c r="E188" s="608"/>
      <c r="F188" s="609"/>
      <c r="G188" s="647"/>
      <c r="H188" s="642"/>
      <c r="I188" s="131"/>
      <c r="J188" s="131"/>
      <c r="K188" s="1037"/>
      <c r="L188" s="1088" t="s">
        <v>210</v>
      </c>
      <c r="M188" s="1064"/>
      <c r="N188" s="1064" t="s">
        <v>231</v>
      </c>
      <c r="O188" s="1009">
        <f>'사. 임직원보수 일람표'!G63</f>
        <v>1987000</v>
      </c>
      <c r="P188" s="1069" t="s">
        <v>744</v>
      </c>
      <c r="Q188" s="1096">
        <v>60</v>
      </c>
      <c r="R188" s="1069" t="s">
        <v>744</v>
      </c>
      <c r="S188" s="1097">
        <v>1</v>
      </c>
      <c r="T188" s="1071" t="s">
        <v>410</v>
      </c>
      <c r="U188" s="1090">
        <f t="shared" si="6"/>
        <v>1192200</v>
      </c>
      <c r="Z188" s="1011"/>
    </row>
    <row r="189" spans="1:26" ht="21.75" hidden="1" customHeight="1">
      <c r="A189" s="605"/>
      <c r="B189" s="606"/>
      <c r="C189" s="606"/>
      <c r="D189" s="607"/>
      <c r="E189" s="608"/>
      <c r="F189" s="609"/>
      <c r="G189" s="647"/>
      <c r="H189" s="642"/>
      <c r="I189" s="131"/>
      <c r="J189" s="131"/>
      <c r="K189" s="1037"/>
      <c r="L189" s="1088" t="s">
        <v>210</v>
      </c>
      <c r="M189" s="1064"/>
      <c r="N189" s="1064" t="s">
        <v>231</v>
      </c>
      <c r="O189" s="1009">
        <f>'사. 임직원보수 일람표'!G64</f>
        <v>2047000</v>
      </c>
      <c r="P189" s="1069" t="s">
        <v>744</v>
      </c>
      <c r="Q189" s="1096">
        <v>60</v>
      </c>
      <c r="R189" s="1069" t="s">
        <v>744</v>
      </c>
      <c r="S189" s="1097">
        <v>1</v>
      </c>
      <c r="T189" s="1071" t="s">
        <v>410</v>
      </c>
      <c r="U189" s="1090">
        <f t="shared" si="6"/>
        <v>1228200</v>
      </c>
      <c r="Z189" s="1011"/>
    </row>
    <row r="190" spans="1:26" ht="21.75" hidden="1" customHeight="1">
      <c r="A190" s="605"/>
      <c r="B190" s="606"/>
      <c r="C190" s="606"/>
      <c r="D190" s="607"/>
      <c r="E190" s="608"/>
      <c r="F190" s="609"/>
      <c r="G190" s="647"/>
      <c r="H190" s="642"/>
      <c r="I190" s="131"/>
      <c r="J190" s="131"/>
      <c r="K190" s="1037"/>
      <c r="L190" s="1088" t="s">
        <v>210</v>
      </c>
      <c r="M190" s="1064"/>
      <c r="N190" s="1064" t="s">
        <v>232</v>
      </c>
      <c r="O190" s="1009">
        <f>'사. 임직원보수 일람표'!G65</f>
        <v>2047000</v>
      </c>
      <c r="P190" s="1069" t="s">
        <v>744</v>
      </c>
      <c r="Q190" s="1096">
        <v>60</v>
      </c>
      <c r="R190" s="1069" t="s">
        <v>744</v>
      </c>
      <c r="S190" s="1097">
        <v>1</v>
      </c>
      <c r="T190" s="1071" t="s">
        <v>410</v>
      </c>
      <c r="U190" s="1090">
        <f t="shared" si="6"/>
        <v>1228200</v>
      </c>
      <c r="Z190" s="1011"/>
    </row>
    <row r="191" spans="1:26" ht="21.75" hidden="1" customHeight="1">
      <c r="A191" s="605"/>
      <c r="B191" s="606"/>
      <c r="C191" s="606"/>
      <c r="D191" s="607"/>
      <c r="E191" s="608"/>
      <c r="F191" s="609"/>
      <c r="G191" s="647"/>
      <c r="H191" s="642"/>
      <c r="I191" s="131"/>
      <c r="J191" s="131"/>
      <c r="K191" s="1037"/>
      <c r="L191" s="1088" t="s">
        <v>210</v>
      </c>
      <c r="M191" s="1064"/>
      <c r="N191" s="1064" t="s">
        <v>232</v>
      </c>
      <c r="O191" s="1009">
        <f>'사. 임직원보수 일람표'!G66</f>
        <v>2109000</v>
      </c>
      <c r="P191" s="1069" t="s">
        <v>744</v>
      </c>
      <c r="Q191" s="1096">
        <v>60</v>
      </c>
      <c r="R191" s="1069" t="s">
        <v>744</v>
      </c>
      <c r="S191" s="1097">
        <v>1</v>
      </c>
      <c r="T191" s="1071" t="s">
        <v>410</v>
      </c>
      <c r="U191" s="1090">
        <f t="shared" si="6"/>
        <v>1265400</v>
      </c>
      <c r="Z191" s="1011"/>
    </row>
    <row r="192" spans="1:26" ht="21.75" hidden="1" customHeight="1">
      <c r="A192" s="605"/>
      <c r="B192" s="606"/>
      <c r="C192" s="606"/>
      <c r="D192" s="607"/>
      <c r="E192" s="608"/>
      <c r="F192" s="609"/>
      <c r="G192" s="647"/>
      <c r="H192" s="642"/>
      <c r="I192" s="131"/>
      <c r="J192" s="131"/>
      <c r="K192" s="1037"/>
      <c r="L192" s="1088" t="s">
        <v>210</v>
      </c>
      <c r="M192" s="1064"/>
      <c r="N192" s="1064" t="s">
        <v>233</v>
      </c>
      <c r="O192" s="1009">
        <f>'사. 임직원보수 일람표'!G67</f>
        <v>2047000</v>
      </c>
      <c r="P192" s="1069" t="s">
        <v>744</v>
      </c>
      <c r="Q192" s="1096">
        <v>60</v>
      </c>
      <c r="R192" s="1069" t="s">
        <v>744</v>
      </c>
      <c r="S192" s="1097">
        <v>1</v>
      </c>
      <c r="T192" s="1071" t="s">
        <v>410</v>
      </c>
      <c r="U192" s="1090">
        <f t="shared" si="6"/>
        <v>1228200</v>
      </c>
      <c r="Z192" s="1011"/>
    </row>
    <row r="193" spans="1:26" ht="21.75" hidden="1" customHeight="1">
      <c r="A193" s="605"/>
      <c r="B193" s="606"/>
      <c r="C193" s="606"/>
      <c r="D193" s="607"/>
      <c r="E193" s="608"/>
      <c r="F193" s="609"/>
      <c r="G193" s="647"/>
      <c r="H193" s="642"/>
      <c r="I193" s="131"/>
      <c r="J193" s="131"/>
      <c r="K193" s="1037"/>
      <c r="L193" s="1088" t="s">
        <v>210</v>
      </c>
      <c r="M193" s="1064"/>
      <c r="N193" s="1064" t="s">
        <v>233</v>
      </c>
      <c r="O193" s="1009">
        <f>'사. 임직원보수 일람표'!G68</f>
        <v>2109000</v>
      </c>
      <c r="P193" s="1069" t="s">
        <v>744</v>
      </c>
      <c r="Q193" s="1096">
        <v>60</v>
      </c>
      <c r="R193" s="1069" t="s">
        <v>744</v>
      </c>
      <c r="S193" s="1097">
        <v>1</v>
      </c>
      <c r="T193" s="1071" t="s">
        <v>410</v>
      </c>
      <c r="U193" s="1090">
        <f t="shared" si="6"/>
        <v>1265400</v>
      </c>
      <c r="Z193" s="1011"/>
    </row>
    <row r="194" spans="1:26" ht="21.75" hidden="1" customHeight="1">
      <c r="A194" s="605"/>
      <c r="B194" s="606"/>
      <c r="C194" s="606"/>
      <c r="D194" s="607"/>
      <c r="E194" s="608"/>
      <c r="F194" s="609"/>
      <c r="G194" s="647"/>
      <c r="H194" s="642"/>
      <c r="I194" s="131"/>
      <c r="J194" s="131"/>
      <c r="K194" s="1037"/>
      <c r="L194" s="1088" t="s">
        <v>210</v>
      </c>
      <c r="M194" s="1064"/>
      <c r="N194" s="1064" t="s">
        <v>234</v>
      </c>
      <c r="O194" s="1009">
        <f>'사. 임직원보수 일람표'!G69</f>
        <v>2047000</v>
      </c>
      <c r="P194" s="1069" t="s">
        <v>744</v>
      </c>
      <c r="Q194" s="1096">
        <v>60</v>
      </c>
      <c r="R194" s="1069" t="s">
        <v>744</v>
      </c>
      <c r="S194" s="1097">
        <v>1</v>
      </c>
      <c r="T194" s="1071" t="s">
        <v>410</v>
      </c>
      <c r="U194" s="1090">
        <f t="shared" si="6"/>
        <v>1228200</v>
      </c>
      <c r="Z194" s="1011"/>
    </row>
    <row r="195" spans="1:26" ht="21.75" hidden="1" customHeight="1">
      <c r="A195" s="605"/>
      <c r="B195" s="606"/>
      <c r="C195" s="606"/>
      <c r="D195" s="607"/>
      <c r="E195" s="608"/>
      <c r="F195" s="609"/>
      <c r="G195" s="647"/>
      <c r="H195" s="642"/>
      <c r="I195" s="131"/>
      <c r="J195" s="131"/>
      <c r="K195" s="1037"/>
      <c r="L195" s="1088" t="s">
        <v>210</v>
      </c>
      <c r="M195" s="1064"/>
      <c r="N195" s="1064" t="s">
        <v>234</v>
      </c>
      <c r="O195" s="1009">
        <f>'사. 임직원보수 일람표'!G70</f>
        <v>2109000</v>
      </c>
      <c r="P195" s="1069" t="s">
        <v>744</v>
      </c>
      <c r="Q195" s="1096">
        <v>60</v>
      </c>
      <c r="R195" s="1069" t="s">
        <v>744</v>
      </c>
      <c r="S195" s="1097">
        <v>1</v>
      </c>
      <c r="T195" s="1071" t="s">
        <v>410</v>
      </c>
      <c r="U195" s="1090">
        <f t="shared" si="6"/>
        <v>1265400</v>
      </c>
      <c r="Z195" s="1011"/>
    </row>
    <row r="196" spans="1:26" ht="21.75" hidden="1" customHeight="1">
      <c r="A196" s="605"/>
      <c r="B196" s="606"/>
      <c r="C196" s="606"/>
      <c r="D196" s="607"/>
      <c r="E196" s="608"/>
      <c r="F196" s="609"/>
      <c r="G196" s="647"/>
      <c r="H196" s="642"/>
      <c r="I196" s="131"/>
      <c r="J196" s="131"/>
      <c r="K196" s="1037"/>
      <c r="L196" s="1088" t="s">
        <v>210</v>
      </c>
      <c r="M196" s="1064"/>
      <c r="N196" s="1064" t="s">
        <v>235</v>
      </c>
      <c r="O196" s="1009">
        <f>'사. 임직원보수 일람표'!G71</f>
        <v>2175000</v>
      </c>
      <c r="P196" s="1069" t="s">
        <v>744</v>
      </c>
      <c r="Q196" s="1096">
        <v>60</v>
      </c>
      <c r="R196" s="1069" t="s">
        <v>744</v>
      </c>
      <c r="S196" s="1097">
        <v>2</v>
      </c>
      <c r="T196" s="1071" t="s">
        <v>410</v>
      </c>
      <c r="U196" s="1090">
        <f>(O196*60%)*S196</f>
        <v>2610000</v>
      </c>
      <c r="Z196" s="1011"/>
    </row>
    <row r="197" spans="1:26" ht="21.75" hidden="1" customHeight="1">
      <c r="A197" s="605"/>
      <c r="B197" s="606"/>
      <c r="C197" s="606"/>
      <c r="D197" s="607"/>
      <c r="E197" s="608"/>
      <c r="F197" s="609"/>
      <c r="G197" s="647"/>
      <c r="H197" s="642"/>
      <c r="I197" s="131"/>
      <c r="J197" s="131"/>
      <c r="K197" s="1037"/>
      <c r="L197" s="1088" t="s">
        <v>210</v>
      </c>
      <c r="M197" s="1064"/>
      <c r="N197" s="1064" t="s">
        <v>236</v>
      </c>
      <c r="O197" s="1009">
        <f>'사. 임직원보수 일람표'!G73</f>
        <v>1987000</v>
      </c>
      <c r="P197" s="1069" t="s">
        <v>744</v>
      </c>
      <c r="Q197" s="1096">
        <v>60</v>
      </c>
      <c r="R197" s="1069" t="s">
        <v>744</v>
      </c>
      <c r="S197" s="1097">
        <v>1</v>
      </c>
      <c r="T197" s="1071" t="s">
        <v>410</v>
      </c>
      <c r="U197" s="1090">
        <f>O197*60%</f>
        <v>1192200</v>
      </c>
      <c r="Z197" s="1011"/>
    </row>
    <row r="198" spans="1:26" ht="21.75" hidden="1" customHeight="1">
      <c r="A198" s="605"/>
      <c r="B198" s="606"/>
      <c r="C198" s="606"/>
      <c r="D198" s="607"/>
      <c r="E198" s="608"/>
      <c r="F198" s="609"/>
      <c r="G198" s="647"/>
      <c r="H198" s="642"/>
      <c r="I198" s="131"/>
      <c r="J198" s="131"/>
      <c r="K198" s="1037"/>
      <c r="L198" s="1088" t="s">
        <v>210</v>
      </c>
      <c r="M198" s="1064"/>
      <c r="N198" s="1064" t="s">
        <v>236</v>
      </c>
      <c r="O198" s="1009">
        <f>'사. 임직원보수 일람표'!G74</f>
        <v>2047000</v>
      </c>
      <c r="P198" s="1069" t="s">
        <v>744</v>
      </c>
      <c r="Q198" s="1096">
        <v>60</v>
      </c>
      <c r="R198" s="1069" t="s">
        <v>744</v>
      </c>
      <c r="S198" s="1097">
        <v>1</v>
      </c>
      <c r="T198" s="1071" t="s">
        <v>410</v>
      </c>
      <c r="U198" s="1090">
        <f>O198*60%</f>
        <v>1228200</v>
      </c>
      <c r="Z198" s="1011"/>
    </row>
    <row r="199" spans="1:26" ht="21.75" hidden="1" customHeight="1">
      <c r="A199" s="605"/>
      <c r="B199" s="606"/>
      <c r="C199" s="606"/>
      <c r="D199" s="607"/>
      <c r="E199" s="608"/>
      <c r="F199" s="609"/>
      <c r="G199" s="647"/>
      <c r="H199" s="642"/>
      <c r="I199" s="131"/>
      <c r="J199" s="131"/>
      <c r="K199" s="1037"/>
      <c r="L199" s="1088" t="s">
        <v>210</v>
      </c>
      <c r="M199" s="1064"/>
      <c r="N199" s="1064" t="s">
        <v>237</v>
      </c>
      <c r="O199" s="1009">
        <f>'사. 임직원보수 일람표'!G75</f>
        <v>1873000</v>
      </c>
      <c r="P199" s="1069" t="s">
        <v>744</v>
      </c>
      <c r="Q199" s="1096">
        <v>60</v>
      </c>
      <c r="R199" s="1069" t="s">
        <v>744</v>
      </c>
      <c r="S199" s="1097">
        <v>1</v>
      </c>
      <c r="T199" s="1071" t="s">
        <v>410</v>
      </c>
      <c r="U199" s="1090">
        <f>O199*60%</f>
        <v>1123800</v>
      </c>
      <c r="Z199" s="1011"/>
    </row>
    <row r="200" spans="1:26" ht="21.75" hidden="1" customHeight="1">
      <c r="A200" s="605"/>
      <c r="B200" s="606"/>
      <c r="C200" s="606"/>
      <c r="D200" s="607"/>
      <c r="E200" s="608"/>
      <c r="F200" s="609"/>
      <c r="G200" s="647"/>
      <c r="H200" s="642"/>
      <c r="I200" s="131"/>
      <c r="J200" s="131"/>
      <c r="K200" s="1037"/>
      <c r="L200" s="1088" t="s">
        <v>210</v>
      </c>
      <c r="M200" s="1064"/>
      <c r="N200" s="1064" t="s">
        <v>237</v>
      </c>
      <c r="O200" s="1009">
        <f>'사. 임직원보수 일람표'!G76</f>
        <v>1929000</v>
      </c>
      <c r="P200" s="1069" t="s">
        <v>744</v>
      </c>
      <c r="Q200" s="1096">
        <v>60</v>
      </c>
      <c r="R200" s="1069" t="s">
        <v>744</v>
      </c>
      <c r="S200" s="1097">
        <v>1</v>
      </c>
      <c r="T200" s="1071" t="s">
        <v>410</v>
      </c>
      <c r="U200" s="1090">
        <f>O200*60%</f>
        <v>1157400</v>
      </c>
      <c r="Z200" s="1011"/>
    </row>
    <row r="201" spans="1:26" ht="21.75" hidden="1" customHeight="1">
      <c r="A201" s="605"/>
      <c r="B201" s="606"/>
      <c r="C201" s="606"/>
      <c r="D201" s="607"/>
      <c r="E201" s="608"/>
      <c r="F201" s="609"/>
      <c r="G201" s="647"/>
      <c r="H201" s="642"/>
      <c r="I201" s="131"/>
      <c r="J201" s="131"/>
      <c r="K201" s="1037"/>
      <c r="L201" s="1088" t="s">
        <v>210</v>
      </c>
      <c r="M201" s="1064"/>
      <c r="N201" s="1064" t="s">
        <v>240</v>
      </c>
      <c r="O201" s="1009">
        <f>'사. 임직원보수 일람표'!G77</f>
        <v>1873000</v>
      </c>
      <c r="P201" s="1069" t="s">
        <v>744</v>
      </c>
      <c r="Q201" s="1096">
        <v>60</v>
      </c>
      <c r="R201" s="1069" t="s">
        <v>744</v>
      </c>
      <c r="S201" s="1097">
        <v>2</v>
      </c>
      <c r="T201" s="1071" t="s">
        <v>410</v>
      </c>
      <c r="U201" s="1090">
        <f>(O201*60%)*S201</f>
        <v>2247600</v>
      </c>
      <c r="Z201" s="1011"/>
    </row>
    <row r="202" spans="1:26" ht="21.75" hidden="1" customHeight="1">
      <c r="A202" s="605"/>
      <c r="B202" s="606"/>
      <c r="C202" s="606"/>
      <c r="D202" s="607"/>
      <c r="E202" s="608"/>
      <c r="F202" s="609"/>
      <c r="G202" s="647"/>
      <c r="H202" s="642"/>
      <c r="I202" s="131"/>
      <c r="J202" s="131"/>
      <c r="K202" s="1037"/>
      <c r="L202" s="1088" t="s">
        <v>210</v>
      </c>
      <c r="M202" s="1064"/>
      <c r="N202" s="1064" t="s">
        <v>241</v>
      </c>
      <c r="O202" s="1009">
        <f>'사. 임직원보수 일람표'!G79</f>
        <v>1821000</v>
      </c>
      <c r="P202" s="1069" t="s">
        <v>744</v>
      </c>
      <c r="Q202" s="1096">
        <v>60</v>
      </c>
      <c r="R202" s="1069" t="s">
        <v>744</v>
      </c>
      <c r="S202" s="1097">
        <v>1</v>
      </c>
      <c r="T202" s="1071" t="s">
        <v>410</v>
      </c>
      <c r="U202" s="1090">
        <f t="shared" ref="U202:U208" si="7">O202*60%</f>
        <v>1092600</v>
      </c>
      <c r="Z202" s="1011"/>
    </row>
    <row r="203" spans="1:26" ht="21.75" hidden="1" customHeight="1">
      <c r="A203" s="605"/>
      <c r="B203" s="606"/>
      <c r="C203" s="606"/>
      <c r="D203" s="607"/>
      <c r="E203" s="608"/>
      <c r="F203" s="609"/>
      <c r="G203" s="647"/>
      <c r="H203" s="642"/>
      <c r="I203" s="131"/>
      <c r="J203" s="131"/>
      <c r="K203" s="1037"/>
      <c r="L203" s="1088" t="s">
        <v>210</v>
      </c>
      <c r="M203" s="1064"/>
      <c r="N203" s="1064" t="s">
        <v>241</v>
      </c>
      <c r="O203" s="1009">
        <f>'사. 임직원보수 일람표'!G80</f>
        <v>1873000</v>
      </c>
      <c r="P203" s="1069" t="s">
        <v>744</v>
      </c>
      <c r="Q203" s="1096">
        <v>60</v>
      </c>
      <c r="R203" s="1069" t="s">
        <v>744</v>
      </c>
      <c r="S203" s="1097">
        <v>1</v>
      </c>
      <c r="T203" s="1071" t="s">
        <v>410</v>
      </c>
      <c r="U203" s="1090">
        <f t="shared" si="7"/>
        <v>1123800</v>
      </c>
      <c r="Z203" s="1011"/>
    </row>
    <row r="204" spans="1:26" ht="21.75" hidden="1" customHeight="1">
      <c r="A204" s="605"/>
      <c r="B204" s="606"/>
      <c r="C204" s="606"/>
      <c r="D204" s="607"/>
      <c r="E204" s="608"/>
      <c r="F204" s="609"/>
      <c r="G204" s="647"/>
      <c r="H204" s="642"/>
      <c r="I204" s="131"/>
      <c r="J204" s="131"/>
      <c r="K204" s="1037"/>
      <c r="L204" s="1088" t="s">
        <v>210</v>
      </c>
      <c r="M204" s="1064"/>
      <c r="N204" s="1064" t="s">
        <v>242</v>
      </c>
      <c r="O204" s="1009">
        <f>'사. 임직원보수 일람표'!G81</f>
        <v>2047000</v>
      </c>
      <c r="P204" s="1069" t="s">
        <v>744</v>
      </c>
      <c r="Q204" s="1096">
        <v>60</v>
      </c>
      <c r="R204" s="1069" t="s">
        <v>744</v>
      </c>
      <c r="S204" s="1097">
        <v>1</v>
      </c>
      <c r="T204" s="1071" t="s">
        <v>410</v>
      </c>
      <c r="U204" s="1090">
        <f t="shared" si="7"/>
        <v>1228200</v>
      </c>
      <c r="Z204" s="1011"/>
    </row>
    <row r="205" spans="1:26" ht="21.75" hidden="1" customHeight="1">
      <c r="A205" s="605"/>
      <c r="B205" s="606"/>
      <c r="C205" s="606"/>
      <c r="D205" s="607"/>
      <c r="E205" s="608"/>
      <c r="F205" s="609"/>
      <c r="G205" s="647"/>
      <c r="H205" s="642"/>
      <c r="I205" s="131"/>
      <c r="J205" s="131"/>
      <c r="K205" s="1037"/>
      <c r="L205" s="1088" t="s">
        <v>210</v>
      </c>
      <c r="M205" s="1064"/>
      <c r="N205" s="1064" t="s">
        <v>242</v>
      </c>
      <c r="O205" s="1009">
        <f>'사. 임직원보수 일람표'!G82</f>
        <v>2109000</v>
      </c>
      <c r="P205" s="1069" t="s">
        <v>744</v>
      </c>
      <c r="Q205" s="1096">
        <v>60</v>
      </c>
      <c r="R205" s="1069" t="s">
        <v>744</v>
      </c>
      <c r="S205" s="1097">
        <v>1</v>
      </c>
      <c r="T205" s="1071" t="s">
        <v>410</v>
      </c>
      <c r="U205" s="1090">
        <f t="shared" si="7"/>
        <v>1265400</v>
      </c>
      <c r="Z205" s="1011"/>
    </row>
    <row r="206" spans="1:26" ht="21.75" hidden="1" customHeight="1">
      <c r="A206" s="605"/>
      <c r="B206" s="606"/>
      <c r="C206" s="606"/>
      <c r="D206" s="607"/>
      <c r="E206" s="608"/>
      <c r="F206" s="609"/>
      <c r="G206" s="647"/>
      <c r="H206" s="642"/>
      <c r="I206" s="131"/>
      <c r="J206" s="131"/>
      <c r="K206" s="1037"/>
      <c r="L206" s="1088" t="s">
        <v>210</v>
      </c>
      <c r="M206" s="1064"/>
      <c r="N206" s="1064" t="s">
        <v>276</v>
      </c>
      <c r="O206" s="1009">
        <f>'사. 임직원보수 일람표'!G83</f>
        <v>1821000</v>
      </c>
      <c r="P206" s="1069" t="s">
        <v>744</v>
      </c>
      <c r="Q206" s="1096">
        <v>60</v>
      </c>
      <c r="R206" s="1069" t="s">
        <v>744</v>
      </c>
      <c r="S206" s="1097">
        <v>1</v>
      </c>
      <c r="T206" s="1071" t="s">
        <v>410</v>
      </c>
      <c r="U206" s="1090">
        <f t="shared" si="7"/>
        <v>1092600</v>
      </c>
    </row>
    <row r="207" spans="1:26" ht="21.75" hidden="1" customHeight="1">
      <c r="A207" s="605"/>
      <c r="B207" s="606"/>
      <c r="C207" s="606"/>
      <c r="D207" s="607"/>
      <c r="E207" s="608"/>
      <c r="F207" s="609"/>
      <c r="G207" s="647"/>
      <c r="H207" s="642"/>
      <c r="I207" s="131"/>
      <c r="J207" s="131"/>
      <c r="K207" s="1037"/>
      <c r="L207" s="1088" t="s">
        <v>210</v>
      </c>
      <c r="M207" s="1064"/>
      <c r="N207" s="1064" t="s">
        <v>243</v>
      </c>
      <c r="O207" s="1009">
        <f>'사. 임직원보수 일람표'!G85</f>
        <v>1873000</v>
      </c>
      <c r="P207" s="1069" t="s">
        <v>744</v>
      </c>
      <c r="Q207" s="1096">
        <v>60</v>
      </c>
      <c r="R207" s="1069" t="s">
        <v>744</v>
      </c>
      <c r="S207" s="1097">
        <v>1</v>
      </c>
      <c r="T207" s="1071" t="s">
        <v>410</v>
      </c>
      <c r="U207" s="1090">
        <f t="shared" si="7"/>
        <v>1123800</v>
      </c>
    </row>
    <row r="208" spans="1:26" ht="21.75" hidden="1" customHeight="1">
      <c r="A208" s="605"/>
      <c r="B208" s="606"/>
      <c r="C208" s="606"/>
      <c r="D208" s="607"/>
      <c r="E208" s="608"/>
      <c r="F208" s="609"/>
      <c r="G208" s="647"/>
      <c r="H208" s="642"/>
      <c r="I208" s="131"/>
      <c r="J208" s="131"/>
      <c r="K208" s="1037"/>
      <c r="L208" s="1088" t="s">
        <v>210</v>
      </c>
      <c r="M208" s="1064"/>
      <c r="N208" s="1064" t="s">
        <v>243</v>
      </c>
      <c r="O208" s="1009">
        <f>'사. 임직원보수 일람표'!G86</f>
        <v>1929000</v>
      </c>
      <c r="P208" s="1069" t="s">
        <v>744</v>
      </c>
      <c r="Q208" s="1096">
        <v>60</v>
      </c>
      <c r="R208" s="1069" t="s">
        <v>744</v>
      </c>
      <c r="S208" s="1097">
        <v>1</v>
      </c>
      <c r="T208" s="1071" t="s">
        <v>410</v>
      </c>
      <c r="U208" s="1090">
        <f t="shared" si="7"/>
        <v>1157400</v>
      </c>
    </row>
    <row r="209" spans="1:21" ht="21.75" hidden="1" customHeight="1">
      <c r="A209" s="605"/>
      <c r="B209" s="606"/>
      <c r="C209" s="606"/>
      <c r="D209" s="607"/>
      <c r="E209" s="608"/>
      <c r="F209" s="609"/>
      <c r="G209" s="647"/>
      <c r="H209" s="642"/>
      <c r="I209" s="131"/>
      <c r="J209" s="131"/>
      <c r="K209" s="1037"/>
      <c r="L209" s="1088" t="s">
        <v>210</v>
      </c>
      <c r="M209" s="1064"/>
      <c r="N209" s="1064" t="s">
        <v>244</v>
      </c>
      <c r="O209" s="1009">
        <f>'사. 임직원보수 일람표'!G88</f>
        <v>1987000</v>
      </c>
      <c r="P209" s="1069" t="s">
        <v>744</v>
      </c>
      <c r="Q209" s="1096">
        <v>60</v>
      </c>
      <c r="R209" s="1069" t="s">
        <v>744</v>
      </c>
      <c r="S209" s="1097">
        <v>1</v>
      </c>
      <c r="T209" s="1071" t="s">
        <v>410</v>
      </c>
      <c r="U209" s="1090">
        <f>(O209*60%)*S209</f>
        <v>1192200</v>
      </c>
    </row>
    <row r="210" spans="1:21" ht="21.75" hidden="1" customHeight="1">
      <c r="A210" s="605"/>
      <c r="B210" s="606"/>
      <c r="C210" s="606"/>
      <c r="D210" s="607"/>
      <c r="E210" s="608"/>
      <c r="F210" s="609"/>
      <c r="G210" s="647"/>
      <c r="H210" s="642"/>
      <c r="I210" s="131"/>
      <c r="J210" s="131"/>
      <c r="K210" s="1037"/>
      <c r="L210" s="1088" t="s">
        <v>210</v>
      </c>
      <c r="M210" s="1064"/>
      <c r="N210" s="1064" t="s">
        <v>245</v>
      </c>
      <c r="O210" s="1009">
        <f>'사. 임직원보수 일람표'!G90</f>
        <v>2175000</v>
      </c>
      <c r="P210" s="1069" t="s">
        <v>744</v>
      </c>
      <c r="Q210" s="1096">
        <v>60</v>
      </c>
      <c r="R210" s="1069" t="s">
        <v>744</v>
      </c>
      <c r="S210" s="1097">
        <v>1</v>
      </c>
      <c r="T210" s="1071" t="s">
        <v>410</v>
      </c>
      <c r="U210" s="1090">
        <f t="shared" ref="U210:U222" si="8">O210*60%</f>
        <v>1305000</v>
      </c>
    </row>
    <row r="211" spans="1:21" ht="21.75" hidden="1" customHeight="1">
      <c r="A211" s="605"/>
      <c r="B211" s="606"/>
      <c r="C211" s="606"/>
      <c r="D211" s="607"/>
      <c r="E211" s="608"/>
      <c r="F211" s="609"/>
      <c r="G211" s="647"/>
      <c r="H211" s="642"/>
      <c r="I211" s="131"/>
      <c r="J211" s="131"/>
      <c r="K211" s="1037"/>
      <c r="L211" s="1088" t="s">
        <v>210</v>
      </c>
      <c r="M211" s="1064"/>
      <c r="N211" s="1064" t="s">
        <v>246</v>
      </c>
      <c r="O211" s="1009">
        <f>'사. 임직원보수 일람표'!G92</f>
        <v>2175000</v>
      </c>
      <c r="P211" s="1069" t="s">
        <v>744</v>
      </c>
      <c r="Q211" s="1096">
        <v>60</v>
      </c>
      <c r="R211" s="1069" t="s">
        <v>744</v>
      </c>
      <c r="S211" s="1097">
        <v>1</v>
      </c>
      <c r="T211" s="1071" t="s">
        <v>410</v>
      </c>
      <c r="U211" s="1090">
        <f t="shared" si="8"/>
        <v>1305000</v>
      </c>
    </row>
    <row r="212" spans="1:21" ht="21.75" hidden="1" customHeight="1">
      <c r="A212" s="605"/>
      <c r="B212" s="606"/>
      <c r="C212" s="606"/>
      <c r="D212" s="607"/>
      <c r="E212" s="608"/>
      <c r="F212" s="609"/>
      <c r="G212" s="647"/>
      <c r="H212" s="642"/>
      <c r="I212" s="131"/>
      <c r="J212" s="131"/>
      <c r="K212" s="1037"/>
      <c r="L212" s="1088" t="s">
        <v>210</v>
      </c>
      <c r="M212" s="1064"/>
      <c r="N212" s="1064" t="s">
        <v>247</v>
      </c>
      <c r="O212" s="1009">
        <f>'사. 임직원보수 일람표'!G94</f>
        <v>2047000</v>
      </c>
      <c r="P212" s="1069" t="s">
        <v>744</v>
      </c>
      <c r="Q212" s="1096">
        <v>60</v>
      </c>
      <c r="R212" s="1069" t="s">
        <v>744</v>
      </c>
      <c r="S212" s="1097">
        <v>1</v>
      </c>
      <c r="T212" s="1071" t="s">
        <v>410</v>
      </c>
      <c r="U212" s="1090">
        <f t="shared" si="8"/>
        <v>1228200</v>
      </c>
    </row>
    <row r="213" spans="1:21" ht="21.75" hidden="1" customHeight="1">
      <c r="A213" s="605"/>
      <c r="B213" s="606"/>
      <c r="C213" s="606"/>
      <c r="D213" s="607"/>
      <c r="E213" s="608"/>
      <c r="F213" s="609"/>
      <c r="G213" s="647"/>
      <c r="H213" s="642"/>
      <c r="I213" s="131"/>
      <c r="J213" s="131"/>
      <c r="K213" s="1037"/>
      <c r="L213" s="1088" t="s">
        <v>210</v>
      </c>
      <c r="M213" s="1064"/>
      <c r="N213" s="1064" t="s">
        <v>248</v>
      </c>
      <c r="O213" s="1009">
        <f>'사. 임직원보수 일람표'!G96</f>
        <v>2047000</v>
      </c>
      <c r="P213" s="1069" t="s">
        <v>744</v>
      </c>
      <c r="Q213" s="1096">
        <v>60</v>
      </c>
      <c r="R213" s="1069" t="s">
        <v>744</v>
      </c>
      <c r="S213" s="1097">
        <v>1</v>
      </c>
      <c r="T213" s="1071" t="s">
        <v>410</v>
      </c>
      <c r="U213" s="1090">
        <f t="shared" si="8"/>
        <v>1228200</v>
      </c>
    </row>
    <row r="214" spans="1:21" ht="21.75" hidden="1" customHeight="1">
      <c r="A214" s="605"/>
      <c r="B214" s="606"/>
      <c r="C214" s="606"/>
      <c r="D214" s="607"/>
      <c r="E214" s="608"/>
      <c r="F214" s="609"/>
      <c r="G214" s="647"/>
      <c r="H214" s="642"/>
      <c r="I214" s="131"/>
      <c r="J214" s="131"/>
      <c r="K214" s="1037"/>
      <c r="L214" s="1088" t="s">
        <v>210</v>
      </c>
      <c r="M214" s="1064"/>
      <c r="N214" s="1064" t="s">
        <v>249</v>
      </c>
      <c r="O214" s="1009">
        <f>'사. 임직원보수 일람표'!G98</f>
        <v>2241000</v>
      </c>
      <c r="P214" s="1069" t="s">
        <v>744</v>
      </c>
      <c r="Q214" s="1096">
        <v>60</v>
      </c>
      <c r="R214" s="1069" t="s">
        <v>744</v>
      </c>
      <c r="S214" s="1097">
        <v>1</v>
      </c>
      <c r="T214" s="1071" t="s">
        <v>410</v>
      </c>
      <c r="U214" s="1090">
        <f t="shared" si="8"/>
        <v>1344600</v>
      </c>
    </row>
    <row r="215" spans="1:21" ht="21.75" hidden="1" customHeight="1">
      <c r="A215" s="605"/>
      <c r="B215" s="606"/>
      <c r="C215" s="606"/>
      <c r="D215" s="607"/>
      <c r="E215" s="608"/>
      <c r="F215" s="609"/>
      <c r="G215" s="647"/>
      <c r="H215" s="642"/>
      <c r="I215" s="131"/>
      <c r="J215" s="131"/>
      <c r="K215" s="1037"/>
      <c r="L215" s="1088" t="s">
        <v>210</v>
      </c>
      <c r="M215" s="1064"/>
      <c r="N215" s="1064" t="s">
        <v>277</v>
      </c>
      <c r="O215" s="1009">
        <f>'사. 임직원보수 일람표'!G99</f>
        <v>1929000</v>
      </c>
      <c r="P215" s="1069" t="s">
        <v>744</v>
      </c>
      <c r="Q215" s="1096">
        <v>60</v>
      </c>
      <c r="R215" s="1069" t="s">
        <v>744</v>
      </c>
      <c r="S215" s="1097">
        <v>1</v>
      </c>
      <c r="T215" s="1071" t="s">
        <v>410</v>
      </c>
      <c r="U215" s="1090">
        <f t="shared" si="8"/>
        <v>1157400</v>
      </c>
    </row>
    <row r="216" spans="1:21" ht="21.75" hidden="1" customHeight="1">
      <c r="A216" s="605"/>
      <c r="B216" s="606"/>
      <c r="C216" s="606"/>
      <c r="D216" s="607"/>
      <c r="E216" s="608"/>
      <c r="F216" s="609"/>
      <c r="G216" s="647"/>
      <c r="H216" s="642"/>
      <c r="I216" s="131"/>
      <c r="J216" s="131"/>
      <c r="K216" s="1037"/>
      <c r="L216" s="1088" t="s">
        <v>210</v>
      </c>
      <c r="M216" s="1064"/>
      <c r="N216" s="1064" t="s">
        <v>278</v>
      </c>
      <c r="O216" s="1009">
        <f>'사. 임직원보수 일람표'!G101</f>
        <v>2175000</v>
      </c>
      <c r="P216" s="1069" t="s">
        <v>744</v>
      </c>
      <c r="Q216" s="1096">
        <v>60</v>
      </c>
      <c r="R216" s="1069" t="s">
        <v>744</v>
      </c>
      <c r="S216" s="1097">
        <v>1</v>
      </c>
      <c r="T216" s="1071" t="s">
        <v>410</v>
      </c>
      <c r="U216" s="1090">
        <f t="shared" si="8"/>
        <v>1305000</v>
      </c>
    </row>
    <row r="217" spans="1:21" ht="21.75" hidden="1" customHeight="1">
      <c r="A217" s="605"/>
      <c r="B217" s="606"/>
      <c r="C217" s="606"/>
      <c r="D217" s="607"/>
      <c r="E217" s="608"/>
      <c r="F217" s="609"/>
      <c r="G217" s="647"/>
      <c r="H217" s="642"/>
      <c r="I217" s="131"/>
      <c r="J217" s="131"/>
      <c r="K217" s="1037"/>
      <c r="L217" s="1088" t="s">
        <v>210</v>
      </c>
      <c r="M217" s="1064"/>
      <c r="N217" s="1064" t="s">
        <v>271</v>
      </c>
      <c r="O217" s="1009">
        <f>'사. 임직원보수 일람표'!G103</f>
        <v>2493000</v>
      </c>
      <c r="P217" s="1069" t="s">
        <v>744</v>
      </c>
      <c r="Q217" s="1096">
        <v>60</v>
      </c>
      <c r="R217" s="1069" t="s">
        <v>744</v>
      </c>
      <c r="S217" s="1097">
        <v>1</v>
      </c>
      <c r="T217" s="1071" t="s">
        <v>410</v>
      </c>
      <c r="U217" s="1090">
        <f t="shared" si="8"/>
        <v>1495800</v>
      </c>
    </row>
    <row r="218" spans="1:21" ht="21.75" hidden="1" customHeight="1">
      <c r="A218" s="605"/>
      <c r="B218" s="606"/>
      <c r="C218" s="606"/>
      <c r="D218" s="607"/>
      <c r="E218" s="608"/>
      <c r="F218" s="609"/>
      <c r="G218" s="647"/>
      <c r="H218" s="642"/>
      <c r="I218" s="131"/>
      <c r="J218" s="131"/>
      <c r="K218" s="1037"/>
      <c r="L218" s="1088" t="s">
        <v>210</v>
      </c>
      <c r="M218" s="1064"/>
      <c r="N218" s="1064" t="s">
        <v>272</v>
      </c>
      <c r="O218" s="1009">
        <f>'사. 임직원보수 일람표'!G105</f>
        <v>2684000</v>
      </c>
      <c r="P218" s="1069" t="s">
        <v>744</v>
      </c>
      <c r="Q218" s="1096">
        <v>60</v>
      </c>
      <c r="R218" s="1069" t="s">
        <v>744</v>
      </c>
      <c r="S218" s="1097">
        <v>1</v>
      </c>
      <c r="T218" s="1071" t="s">
        <v>410</v>
      </c>
      <c r="U218" s="1090">
        <f t="shared" si="8"/>
        <v>1610400</v>
      </c>
    </row>
    <row r="219" spans="1:21" ht="21.75" hidden="1" customHeight="1">
      <c r="A219" s="605"/>
      <c r="B219" s="606"/>
      <c r="C219" s="606"/>
      <c r="D219" s="607"/>
      <c r="E219" s="608"/>
      <c r="F219" s="609"/>
      <c r="G219" s="647"/>
      <c r="H219" s="642"/>
      <c r="I219" s="131"/>
      <c r="J219" s="131"/>
      <c r="K219" s="1037"/>
      <c r="L219" s="1088" t="s">
        <v>210</v>
      </c>
      <c r="M219" s="1064"/>
      <c r="N219" s="1064" t="s">
        <v>273</v>
      </c>
      <c r="O219" s="1009">
        <f>'사. 임직원보수 일람표'!G107</f>
        <v>2175000</v>
      </c>
      <c r="P219" s="1069" t="s">
        <v>744</v>
      </c>
      <c r="Q219" s="1096">
        <v>60</v>
      </c>
      <c r="R219" s="1069" t="s">
        <v>744</v>
      </c>
      <c r="S219" s="1097">
        <v>1</v>
      </c>
      <c r="T219" s="1071" t="s">
        <v>410</v>
      </c>
      <c r="U219" s="1090">
        <f t="shared" si="8"/>
        <v>1305000</v>
      </c>
    </row>
    <row r="220" spans="1:21" ht="21.75" hidden="1" customHeight="1">
      <c r="A220" s="605"/>
      <c r="B220" s="606"/>
      <c r="C220" s="606"/>
      <c r="D220" s="607"/>
      <c r="E220" s="608"/>
      <c r="F220" s="609"/>
      <c r="G220" s="647"/>
      <c r="H220" s="642"/>
      <c r="I220" s="131"/>
      <c r="J220" s="131"/>
      <c r="K220" s="1037"/>
      <c r="L220" s="1088" t="s">
        <v>210</v>
      </c>
      <c r="M220" s="1064"/>
      <c r="N220" s="1064" t="s">
        <v>274</v>
      </c>
      <c r="O220" s="1009">
        <f>'사. 임직원보수 일람표'!G109</f>
        <v>1873000</v>
      </c>
      <c r="P220" s="1069" t="s">
        <v>744</v>
      </c>
      <c r="Q220" s="1096">
        <v>60</v>
      </c>
      <c r="R220" s="1069" t="s">
        <v>744</v>
      </c>
      <c r="S220" s="1097">
        <v>1</v>
      </c>
      <c r="T220" s="1071" t="s">
        <v>410</v>
      </c>
      <c r="U220" s="1090">
        <f t="shared" si="8"/>
        <v>1123800</v>
      </c>
    </row>
    <row r="221" spans="1:21" ht="21.75" hidden="1" customHeight="1">
      <c r="A221" s="605"/>
      <c r="B221" s="606"/>
      <c r="C221" s="606"/>
      <c r="D221" s="607"/>
      <c r="E221" s="608"/>
      <c r="F221" s="609"/>
      <c r="G221" s="647"/>
      <c r="H221" s="642"/>
      <c r="I221" s="131"/>
      <c r="J221" s="131"/>
      <c r="K221" s="1037"/>
      <c r="L221" s="1088" t="s">
        <v>251</v>
      </c>
      <c r="M221" s="1064"/>
      <c r="N221" s="1064" t="s">
        <v>250</v>
      </c>
      <c r="O221" s="1009">
        <f>'사. 임직원보수 일람표'!G111</f>
        <v>2259000</v>
      </c>
      <c r="P221" s="1069" t="s">
        <v>744</v>
      </c>
      <c r="Q221" s="1096">
        <v>60</v>
      </c>
      <c r="R221" s="1069" t="s">
        <v>744</v>
      </c>
      <c r="S221" s="1097">
        <v>1</v>
      </c>
      <c r="T221" s="1071" t="s">
        <v>410</v>
      </c>
      <c r="U221" s="1090">
        <f t="shared" si="8"/>
        <v>1355400</v>
      </c>
    </row>
    <row r="222" spans="1:21" ht="21.75" hidden="1" customHeight="1">
      <c r="A222" s="605"/>
      <c r="B222" s="606"/>
      <c r="C222" s="606"/>
      <c r="D222" s="607"/>
      <c r="E222" s="608"/>
      <c r="F222" s="609"/>
      <c r="G222" s="647"/>
      <c r="H222" s="642"/>
      <c r="I222" s="131"/>
      <c r="J222" s="131"/>
      <c r="K222" s="1037"/>
      <c r="L222" s="1088" t="s">
        <v>251</v>
      </c>
      <c r="M222" s="1064"/>
      <c r="N222" s="1064" t="s">
        <v>250</v>
      </c>
      <c r="O222" s="1009">
        <f>'사. 임직원보수 일람표'!G112</f>
        <v>2306000</v>
      </c>
      <c r="P222" s="1069" t="s">
        <v>744</v>
      </c>
      <c r="Q222" s="1096">
        <v>60</v>
      </c>
      <c r="R222" s="1069" t="s">
        <v>744</v>
      </c>
      <c r="S222" s="1097">
        <v>1</v>
      </c>
      <c r="T222" s="1071" t="s">
        <v>410</v>
      </c>
      <c r="U222" s="1090">
        <f t="shared" si="8"/>
        <v>1383600</v>
      </c>
    </row>
    <row r="223" spans="1:21" ht="21.75" hidden="1" customHeight="1">
      <c r="A223" s="605"/>
      <c r="B223" s="606"/>
      <c r="C223" s="606"/>
      <c r="D223" s="607"/>
      <c r="E223" s="608"/>
      <c r="F223" s="609"/>
      <c r="G223" s="647"/>
      <c r="H223" s="642"/>
      <c r="I223" s="131"/>
      <c r="J223" s="131"/>
      <c r="K223" s="1037"/>
      <c r="L223" s="1088" t="s">
        <v>252</v>
      </c>
      <c r="M223" s="1064"/>
      <c r="N223" s="1064" t="s">
        <v>253</v>
      </c>
      <c r="O223" s="1009">
        <f>'사. 임직원보수 일람표'!G113</f>
        <v>1796000</v>
      </c>
      <c r="P223" s="1069" t="s">
        <v>744</v>
      </c>
      <c r="Q223" s="1096">
        <v>60</v>
      </c>
      <c r="R223" s="1069" t="s">
        <v>744</v>
      </c>
      <c r="S223" s="1097">
        <v>2</v>
      </c>
      <c r="T223" s="1071" t="s">
        <v>410</v>
      </c>
      <c r="U223" s="1090">
        <f>(O223*60%)*S223</f>
        <v>2155200</v>
      </c>
    </row>
    <row r="224" spans="1:21" ht="21.75" hidden="1" customHeight="1">
      <c r="A224" s="605"/>
      <c r="B224" s="606"/>
      <c r="C224" s="606"/>
      <c r="D224" s="607"/>
      <c r="E224" s="608"/>
      <c r="F224" s="609"/>
      <c r="G224" s="647"/>
      <c r="H224" s="642"/>
      <c r="I224" s="131"/>
      <c r="J224" s="131"/>
      <c r="K224" s="1037"/>
      <c r="L224" s="1088" t="s">
        <v>252</v>
      </c>
      <c r="M224" s="1064"/>
      <c r="N224" s="1064" t="s">
        <v>254</v>
      </c>
      <c r="O224" s="1009">
        <f>'사. 임직원보수 일람표'!G115</f>
        <v>2049000</v>
      </c>
      <c r="P224" s="1069" t="s">
        <v>744</v>
      </c>
      <c r="Q224" s="1096">
        <v>60</v>
      </c>
      <c r="R224" s="1069" t="s">
        <v>744</v>
      </c>
      <c r="S224" s="1097">
        <v>1</v>
      </c>
      <c r="T224" s="1071" t="s">
        <v>410</v>
      </c>
      <c r="U224" s="1090">
        <f t="shared" ref="U224:U234" si="9">O224*60%</f>
        <v>1229400</v>
      </c>
    </row>
    <row r="225" spans="1:23" ht="21.75" hidden="1" customHeight="1">
      <c r="A225" s="605"/>
      <c r="B225" s="606"/>
      <c r="C225" s="606"/>
      <c r="D225" s="607"/>
      <c r="E225" s="608"/>
      <c r="F225" s="609"/>
      <c r="G225" s="647"/>
      <c r="H225" s="642"/>
      <c r="I225" s="131"/>
      <c r="J225" s="131"/>
      <c r="K225" s="1037"/>
      <c r="L225" s="1088" t="s">
        <v>252</v>
      </c>
      <c r="M225" s="1064"/>
      <c r="N225" s="1064" t="s">
        <v>254</v>
      </c>
      <c r="O225" s="1009">
        <f>'사. 임직원보수 일람표'!G116</f>
        <v>2091000</v>
      </c>
      <c r="P225" s="1069" t="s">
        <v>744</v>
      </c>
      <c r="Q225" s="1096">
        <v>60</v>
      </c>
      <c r="R225" s="1069" t="s">
        <v>744</v>
      </c>
      <c r="S225" s="1097">
        <v>1</v>
      </c>
      <c r="T225" s="1071" t="s">
        <v>410</v>
      </c>
      <c r="U225" s="1090">
        <f t="shared" si="9"/>
        <v>1254600</v>
      </c>
    </row>
    <row r="226" spans="1:23" ht="21.75" hidden="1" customHeight="1">
      <c r="A226" s="605"/>
      <c r="B226" s="606"/>
      <c r="C226" s="606"/>
      <c r="D226" s="607"/>
      <c r="E226" s="608"/>
      <c r="F226" s="609"/>
      <c r="G226" s="647"/>
      <c r="H226" s="642"/>
      <c r="I226" s="131"/>
      <c r="J226" s="131"/>
      <c r="K226" s="1037"/>
      <c r="L226" s="1088" t="s">
        <v>252</v>
      </c>
      <c r="M226" s="1064"/>
      <c r="N226" s="1064" t="s">
        <v>266</v>
      </c>
      <c r="O226" s="1009">
        <f>'사. 임직원보수 일람표'!G117</f>
        <v>1796000</v>
      </c>
      <c r="P226" s="1069" t="s">
        <v>744</v>
      </c>
      <c r="Q226" s="1096">
        <v>60</v>
      </c>
      <c r="R226" s="1069" t="s">
        <v>744</v>
      </c>
      <c r="S226" s="1097">
        <v>1</v>
      </c>
      <c r="T226" s="1071" t="s">
        <v>410</v>
      </c>
      <c r="U226" s="1090">
        <f t="shared" si="9"/>
        <v>1077600</v>
      </c>
    </row>
    <row r="227" spans="1:23" ht="21.75" hidden="1" customHeight="1">
      <c r="A227" s="605"/>
      <c r="B227" s="606"/>
      <c r="C227" s="606"/>
      <c r="D227" s="607"/>
      <c r="E227" s="608"/>
      <c r="F227" s="609"/>
      <c r="G227" s="647"/>
      <c r="H227" s="642"/>
      <c r="I227" s="131"/>
      <c r="J227" s="131"/>
      <c r="K227" s="1037"/>
      <c r="L227" s="1088" t="s">
        <v>252</v>
      </c>
      <c r="M227" s="1064"/>
      <c r="N227" s="1064" t="s">
        <v>255</v>
      </c>
      <c r="O227" s="1009">
        <f>'사. 임직원보수 일람표'!G119</f>
        <v>1967000</v>
      </c>
      <c r="P227" s="1069" t="s">
        <v>744</v>
      </c>
      <c r="Q227" s="1096">
        <v>60</v>
      </c>
      <c r="R227" s="1069" t="s">
        <v>744</v>
      </c>
      <c r="S227" s="1097">
        <v>1</v>
      </c>
      <c r="T227" s="1071" t="s">
        <v>410</v>
      </c>
      <c r="U227" s="1090">
        <f t="shared" si="9"/>
        <v>1180200</v>
      </c>
      <c r="V227" s="582">
        <f>SUM(U137:U227)</f>
        <v>137981400</v>
      </c>
      <c r="W227" s="582">
        <f>'사. 임직원보수 일람표'!I123</f>
        <v>137981400</v>
      </c>
    </row>
    <row r="228" spans="1:23" ht="21.75" hidden="1" customHeight="1">
      <c r="A228" s="605"/>
      <c r="B228" s="606"/>
      <c r="C228" s="606"/>
      <c r="D228" s="607"/>
      <c r="E228" s="608"/>
      <c r="F228" s="609"/>
      <c r="G228" s="647"/>
      <c r="H228" s="642"/>
      <c r="I228" s="131"/>
      <c r="J228" s="131"/>
      <c r="K228" s="1037"/>
      <c r="L228" s="1088" t="s">
        <v>210</v>
      </c>
      <c r="M228" s="1075" t="s">
        <v>894</v>
      </c>
      <c r="N228" s="1064" t="s">
        <v>364</v>
      </c>
      <c r="O228" s="1009">
        <f>'사. 임직원보수 일람표'!G130</f>
        <v>2175000</v>
      </c>
      <c r="P228" s="1069" t="s">
        <v>744</v>
      </c>
      <c r="Q228" s="1096">
        <v>60</v>
      </c>
      <c r="R228" s="1069" t="s">
        <v>744</v>
      </c>
      <c r="S228" s="1097">
        <v>1</v>
      </c>
      <c r="T228" s="1071" t="s">
        <v>410</v>
      </c>
      <c r="U228" s="1090">
        <f t="shared" si="9"/>
        <v>1305000</v>
      </c>
    </row>
    <row r="229" spans="1:23" ht="21.75" hidden="1" customHeight="1">
      <c r="A229" s="605"/>
      <c r="B229" s="606"/>
      <c r="C229" s="606"/>
      <c r="D229" s="607"/>
      <c r="E229" s="608"/>
      <c r="F229" s="609"/>
      <c r="G229" s="647"/>
      <c r="H229" s="642"/>
      <c r="I229" s="131"/>
      <c r="J229" s="131"/>
      <c r="K229" s="1037"/>
      <c r="L229" s="1088" t="s">
        <v>210</v>
      </c>
      <c r="M229" s="1075" t="s">
        <v>894</v>
      </c>
      <c r="N229" s="1064" t="s">
        <v>364</v>
      </c>
      <c r="O229" s="1009">
        <f>'사. 임직원보수 일람표'!G131</f>
        <v>2241000</v>
      </c>
      <c r="P229" s="1069" t="s">
        <v>744</v>
      </c>
      <c r="Q229" s="1096">
        <v>60</v>
      </c>
      <c r="R229" s="1069" t="s">
        <v>744</v>
      </c>
      <c r="S229" s="1097">
        <v>1</v>
      </c>
      <c r="T229" s="1071" t="s">
        <v>410</v>
      </c>
      <c r="U229" s="1090">
        <f t="shared" si="9"/>
        <v>1344600</v>
      </c>
    </row>
    <row r="230" spans="1:23" ht="21.75" hidden="1" customHeight="1">
      <c r="A230" s="605"/>
      <c r="B230" s="606"/>
      <c r="C230" s="606"/>
      <c r="D230" s="607"/>
      <c r="E230" s="608"/>
      <c r="F230" s="609"/>
      <c r="G230" s="647"/>
      <c r="H230" s="642"/>
      <c r="I230" s="131"/>
      <c r="J230" s="131"/>
      <c r="K230" s="1037"/>
      <c r="L230" s="1088" t="s">
        <v>252</v>
      </c>
      <c r="M230" s="1075" t="s">
        <v>894</v>
      </c>
      <c r="N230" s="1064" t="s">
        <v>365</v>
      </c>
      <c r="O230" s="1009">
        <f>'사. 임직원보수 일람표'!G132</f>
        <v>1967000</v>
      </c>
      <c r="P230" s="1069" t="s">
        <v>744</v>
      </c>
      <c r="Q230" s="1096">
        <v>60</v>
      </c>
      <c r="R230" s="1069" t="s">
        <v>744</v>
      </c>
      <c r="S230" s="1097">
        <v>1</v>
      </c>
      <c r="T230" s="1071" t="s">
        <v>410</v>
      </c>
      <c r="U230" s="1090">
        <f t="shared" si="9"/>
        <v>1180200</v>
      </c>
    </row>
    <row r="231" spans="1:23" ht="21.75" hidden="1" customHeight="1">
      <c r="A231" s="605"/>
      <c r="B231" s="606"/>
      <c r="C231" s="606"/>
      <c r="D231" s="607"/>
      <c r="E231" s="608"/>
      <c r="F231" s="609"/>
      <c r="G231" s="647"/>
      <c r="H231" s="642"/>
      <c r="I231" s="131"/>
      <c r="J231" s="131"/>
      <c r="K231" s="1037"/>
      <c r="L231" s="1088" t="s">
        <v>252</v>
      </c>
      <c r="M231" s="1075" t="s">
        <v>894</v>
      </c>
      <c r="N231" s="1064" t="s">
        <v>365</v>
      </c>
      <c r="O231" s="1009">
        <f>'사. 임직원보수 일람표'!G133</f>
        <v>2008000</v>
      </c>
      <c r="P231" s="1069" t="s">
        <v>744</v>
      </c>
      <c r="Q231" s="1096">
        <v>60</v>
      </c>
      <c r="R231" s="1069" t="s">
        <v>744</v>
      </c>
      <c r="S231" s="1097">
        <v>1</v>
      </c>
      <c r="T231" s="1071" t="s">
        <v>410</v>
      </c>
      <c r="U231" s="1090">
        <f t="shared" si="9"/>
        <v>1204800</v>
      </c>
    </row>
    <row r="232" spans="1:23" ht="21.75" hidden="1" customHeight="1">
      <c r="A232" s="605"/>
      <c r="B232" s="606"/>
      <c r="C232" s="606"/>
      <c r="D232" s="607"/>
      <c r="E232" s="608"/>
      <c r="F232" s="609"/>
      <c r="G232" s="647"/>
      <c r="H232" s="642"/>
      <c r="I232" s="131"/>
      <c r="J232" s="131"/>
      <c r="K232" s="1037"/>
      <c r="L232" s="1088" t="s">
        <v>363</v>
      </c>
      <c r="M232" s="1075" t="s">
        <v>894</v>
      </c>
      <c r="N232" s="1064" t="s">
        <v>366</v>
      </c>
      <c r="O232" s="1009">
        <f>'사. 임직원보수 일람표'!G134</f>
        <v>2493000</v>
      </c>
      <c r="P232" s="1069" t="s">
        <v>744</v>
      </c>
      <c r="Q232" s="1096">
        <v>60</v>
      </c>
      <c r="R232" s="1069" t="s">
        <v>744</v>
      </c>
      <c r="S232" s="1097">
        <v>1</v>
      </c>
      <c r="T232" s="1071" t="s">
        <v>410</v>
      </c>
      <c r="U232" s="1090">
        <f t="shared" si="9"/>
        <v>1495800</v>
      </c>
    </row>
    <row r="233" spans="1:23" ht="21.75" hidden="1" customHeight="1">
      <c r="A233" s="605"/>
      <c r="B233" s="606"/>
      <c r="C233" s="606"/>
      <c r="D233" s="607"/>
      <c r="E233" s="608"/>
      <c r="F233" s="609"/>
      <c r="G233" s="647"/>
      <c r="H233" s="642"/>
      <c r="I233" s="131"/>
      <c r="J233" s="131"/>
      <c r="K233" s="1037"/>
      <c r="L233" s="1088" t="s">
        <v>363</v>
      </c>
      <c r="M233" s="1075" t="s">
        <v>894</v>
      </c>
      <c r="N233" s="1064" t="s">
        <v>366</v>
      </c>
      <c r="O233" s="1009">
        <f>'사. 임직원보수 일람표'!G135</f>
        <v>2558000</v>
      </c>
      <c r="P233" s="1069" t="s">
        <v>744</v>
      </c>
      <c r="Q233" s="1096">
        <v>60</v>
      </c>
      <c r="R233" s="1069" t="s">
        <v>744</v>
      </c>
      <c r="S233" s="1097">
        <v>1</v>
      </c>
      <c r="T233" s="1071" t="s">
        <v>410</v>
      </c>
      <c r="U233" s="1090">
        <f t="shared" si="9"/>
        <v>1534800</v>
      </c>
      <c r="V233" s="582">
        <f>SUM(U228:U233)</f>
        <v>8065200</v>
      </c>
    </row>
    <row r="234" spans="1:23" ht="21.75" hidden="1" customHeight="1">
      <c r="A234" s="605"/>
      <c r="B234" s="606"/>
      <c r="C234" s="606"/>
      <c r="D234" s="607"/>
      <c r="E234" s="608"/>
      <c r="F234" s="609"/>
      <c r="G234" s="647"/>
      <c r="H234" s="642"/>
      <c r="I234" s="131"/>
      <c r="J234" s="131"/>
      <c r="K234" s="1037"/>
      <c r="L234" s="1088" t="s">
        <v>210</v>
      </c>
      <c r="M234" s="1075" t="s">
        <v>899</v>
      </c>
      <c r="N234" s="1064" t="s">
        <v>276</v>
      </c>
      <c r="O234" s="1009">
        <f>'사. 임직원보수 일람표'!G146</f>
        <v>1873000</v>
      </c>
      <c r="P234" s="1069" t="s">
        <v>744</v>
      </c>
      <c r="Q234" s="1096">
        <v>60</v>
      </c>
      <c r="R234" s="1069" t="s">
        <v>744</v>
      </c>
      <c r="S234" s="1097">
        <v>1</v>
      </c>
      <c r="T234" s="1071" t="s">
        <v>410</v>
      </c>
      <c r="U234" s="1090">
        <f t="shared" si="9"/>
        <v>1123800</v>
      </c>
    </row>
    <row r="235" spans="1:23" ht="21.75" hidden="1" customHeight="1">
      <c r="A235" s="605"/>
      <c r="B235" s="606"/>
      <c r="C235" s="606"/>
      <c r="D235" s="607"/>
      <c r="E235" s="608"/>
      <c r="F235" s="609"/>
      <c r="G235" s="647"/>
      <c r="H235" s="642"/>
      <c r="I235" s="131"/>
      <c r="J235" s="131"/>
      <c r="K235" s="1037"/>
      <c r="L235" s="1088" t="s">
        <v>210</v>
      </c>
      <c r="M235" s="1075" t="s">
        <v>899</v>
      </c>
      <c r="N235" s="1064" t="s">
        <v>261</v>
      </c>
      <c r="O235" s="1009">
        <f>'사. 임직원보수 일람표'!G147</f>
        <v>1821000</v>
      </c>
      <c r="P235" s="1069" t="s">
        <v>744</v>
      </c>
      <c r="Q235" s="1096">
        <v>60</v>
      </c>
      <c r="R235" s="1069" t="s">
        <v>744</v>
      </c>
      <c r="S235" s="1097">
        <v>2</v>
      </c>
      <c r="T235" s="1071" t="s">
        <v>410</v>
      </c>
      <c r="U235" s="1090">
        <f>(O235*60%)*S235</f>
        <v>2185200</v>
      </c>
    </row>
    <row r="236" spans="1:23" ht="21.75" hidden="1" customHeight="1">
      <c r="A236" s="605"/>
      <c r="B236" s="606"/>
      <c r="C236" s="606"/>
      <c r="D236" s="607"/>
      <c r="E236" s="608"/>
      <c r="F236" s="609"/>
      <c r="G236" s="647"/>
      <c r="H236" s="642"/>
      <c r="I236" s="131"/>
      <c r="J236" s="131"/>
      <c r="K236" s="1037"/>
      <c r="L236" s="1088" t="s">
        <v>210</v>
      </c>
      <c r="M236" s="1075" t="s">
        <v>899</v>
      </c>
      <c r="N236" s="1064" t="s">
        <v>368</v>
      </c>
      <c r="O236" s="1009">
        <f>'사. 임직원보수 일람표'!G149</f>
        <v>1929000</v>
      </c>
      <c r="P236" s="1069" t="s">
        <v>744</v>
      </c>
      <c r="Q236" s="1096">
        <v>60</v>
      </c>
      <c r="R236" s="1069" t="s">
        <v>744</v>
      </c>
      <c r="S236" s="1097">
        <v>2</v>
      </c>
      <c r="T236" s="1071" t="s">
        <v>410</v>
      </c>
      <c r="U236" s="1090">
        <f>(O236*60%)*S236</f>
        <v>2314800</v>
      </c>
    </row>
    <row r="237" spans="1:23" ht="21.75" hidden="1" customHeight="1">
      <c r="A237" s="605"/>
      <c r="B237" s="606"/>
      <c r="C237" s="606"/>
      <c r="D237" s="607"/>
      <c r="E237" s="608"/>
      <c r="F237" s="609"/>
      <c r="G237" s="647"/>
      <c r="H237" s="642"/>
      <c r="I237" s="131"/>
      <c r="J237" s="131"/>
      <c r="K237" s="1037"/>
      <c r="L237" s="1088" t="s">
        <v>210</v>
      </c>
      <c r="M237" s="1075" t="s">
        <v>899</v>
      </c>
      <c r="N237" s="1064" t="s">
        <v>369</v>
      </c>
      <c r="O237" s="1009">
        <f>'사. 임직원보수 일람표'!G151</f>
        <v>1873000</v>
      </c>
      <c r="P237" s="1069" t="s">
        <v>744</v>
      </c>
      <c r="Q237" s="1096">
        <v>60</v>
      </c>
      <c r="R237" s="1069" t="s">
        <v>744</v>
      </c>
      <c r="S237" s="1097">
        <v>1</v>
      </c>
      <c r="T237" s="1071" t="s">
        <v>410</v>
      </c>
      <c r="U237" s="1090">
        <f>O237*60%</f>
        <v>1123800</v>
      </c>
    </row>
    <row r="238" spans="1:23" ht="21.75" hidden="1" customHeight="1">
      <c r="A238" s="605"/>
      <c r="B238" s="606"/>
      <c r="C238" s="606"/>
      <c r="D238" s="607"/>
      <c r="E238" s="608"/>
      <c r="F238" s="609"/>
      <c r="G238" s="647"/>
      <c r="H238" s="642"/>
      <c r="I238" s="131"/>
      <c r="J238" s="131"/>
      <c r="K238" s="1037"/>
      <c r="L238" s="1088" t="s">
        <v>210</v>
      </c>
      <c r="M238" s="1075" t="s">
        <v>899</v>
      </c>
      <c r="N238" s="1064" t="s">
        <v>369</v>
      </c>
      <c r="O238" s="1009">
        <f>'사. 임직원보수 일람표'!G152</f>
        <v>1929000</v>
      </c>
      <c r="P238" s="1069" t="s">
        <v>744</v>
      </c>
      <c r="Q238" s="1096">
        <v>60</v>
      </c>
      <c r="R238" s="1069" t="s">
        <v>744</v>
      </c>
      <c r="S238" s="1097">
        <v>1</v>
      </c>
      <c r="T238" s="1071" t="s">
        <v>410</v>
      </c>
      <c r="U238" s="1090">
        <f>O238*60%</f>
        <v>1157400</v>
      </c>
    </row>
    <row r="239" spans="1:23" ht="21.75" hidden="1" customHeight="1">
      <c r="A239" s="605"/>
      <c r="B239" s="606"/>
      <c r="C239" s="606"/>
      <c r="D239" s="607"/>
      <c r="E239" s="608"/>
      <c r="F239" s="609"/>
      <c r="G239" s="647"/>
      <c r="H239" s="642"/>
      <c r="I239" s="131"/>
      <c r="J239" s="131"/>
      <c r="K239" s="1037"/>
      <c r="L239" s="1088" t="s">
        <v>210</v>
      </c>
      <c r="M239" s="1075" t="s">
        <v>899</v>
      </c>
      <c r="N239" s="1064" t="s">
        <v>370</v>
      </c>
      <c r="O239" s="1009">
        <f>'사. 임직원보수 일람표'!G153</f>
        <v>1821000</v>
      </c>
      <c r="P239" s="1069" t="s">
        <v>744</v>
      </c>
      <c r="Q239" s="1096">
        <v>60</v>
      </c>
      <c r="R239" s="1069" t="s">
        <v>744</v>
      </c>
      <c r="S239" s="1097">
        <v>2</v>
      </c>
      <c r="T239" s="1071" t="s">
        <v>410</v>
      </c>
      <c r="U239" s="1090">
        <f>(O239*60%)*S239</f>
        <v>2185200</v>
      </c>
    </row>
    <row r="240" spans="1:23" ht="21.75" hidden="1" customHeight="1">
      <c r="A240" s="605"/>
      <c r="B240" s="606"/>
      <c r="C240" s="606"/>
      <c r="D240" s="607"/>
      <c r="E240" s="608"/>
      <c r="F240" s="609"/>
      <c r="G240" s="647"/>
      <c r="H240" s="642"/>
      <c r="I240" s="131"/>
      <c r="J240" s="131"/>
      <c r="K240" s="1037"/>
      <c r="L240" s="1088" t="s">
        <v>210</v>
      </c>
      <c r="M240" s="1075" t="s">
        <v>899</v>
      </c>
      <c r="N240" s="1064" t="s">
        <v>371</v>
      </c>
      <c r="O240" s="1009">
        <f>'사. 임직원보수 일람표'!G155</f>
        <v>1821000</v>
      </c>
      <c r="P240" s="1069" t="s">
        <v>744</v>
      </c>
      <c r="Q240" s="1096">
        <v>60</v>
      </c>
      <c r="R240" s="1069" t="s">
        <v>744</v>
      </c>
      <c r="S240" s="1097">
        <v>2</v>
      </c>
      <c r="T240" s="1071" t="s">
        <v>410</v>
      </c>
      <c r="U240" s="1090">
        <f>(O240*60%)*S240</f>
        <v>2185200</v>
      </c>
    </row>
    <row r="241" spans="1:26" ht="21.75" hidden="1" customHeight="1">
      <c r="A241" s="605"/>
      <c r="B241" s="606"/>
      <c r="C241" s="606"/>
      <c r="D241" s="607"/>
      <c r="E241" s="608"/>
      <c r="F241" s="609"/>
      <c r="G241" s="647"/>
      <c r="H241" s="642"/>
      <c r="I241" s="131"/>
      <c r="J241" s="131"/>
      <c r="K241" s="1037"/>
      <c r="L241" s="1088" t="s">
        <v>210</v>
      </c>
      <c r="M241" s="1075" t="s">
        <v>899</v>
      </c>
      <c r="N241" s="1064" t="s">
        <v>372</v>
      </c>
      <c r="O241" s="1009">
        <f>'사. 임직원보수 일람표'!G158</f>
        <v>1987000</v>
      </c>
      <c r="P241" s="1069" t="s">
        <v>744</v>
      </c>
      <c r="Q241" s="1096">
        <v>60</v>
      </c>
      <c r="R241" s="1069" t="s">
        <v>744</v>
      </c>
      <c r="S241" s="1097">
        <v>1</v>
      </c>
      <c r="T241" s="1071" t="s">
        <v>410</v>
      </c>
      <c r="U241" s="1090">
        <f>O241*60%</f>
        <v>1192200</v>
      </c>
    </row>
    <row r="242" spans="1:26" ht="21.75" hidden="1" customHeight="1">
      <c r="A242" s="605"/>
      <c r="B242" s="606"/>
      <c r="C242" s="606"/>
      <c r="D242" s="607"/>
      <c r="E242" s="608"/>
      <c r="F242" s="609"/>
      <c r="G242" s="647"/>
      <c r="H242" s="642"/>
      <c r="I242" s="131"/>
      <c r="J242" s="131"/>
      <c r="K242" s="1037"/>
      <c r="L242" s="1088" t="s">
        <v>210</v>
      </c>
      <c r="M242" s="1075" t="s">
        <v>899</v>
      </c>
      <c r="N242" s="1064" t="s">
        <v>373</v>
      </c>
      <c r="O242" s="1009">
        <f>'사. 임직원보수 일람표'!G160</f>
        <v>1987000</v>
      </c>
      <c r="P242" s="1069" t="s">
        <v>744</v>
      </c>
      <c r="Q242" s="1096">
        <v>60</v>
      </c>
      <c r="R242" s="1069" t="s">
        <v>744</v>
      </c>
      <c r="S242" s="1097">
        <v>1</v>
      </c>
      <c r="T242" s="1071" t="s">
        <v>410</v>
      </c>
      <c r="U242" s="1090">
        <f>O242*60%</f>
        <v>1192200</v>
      </c>
    </row>
    <row r="243" spans="1:26" ht="21.75" hidden="1" customHeight="1">
      <c r="A243" s="605"/>
      <c r="B243" s="606"/>
      <c r="C243" s="606"/>
      <c r="D243" s="607"/>
      <c r="E243" s="608"/>
      <c r="F243" s="609"/>
      <c r="G243" s="647"/>
      <c r="H243" s="642"/>
      <c r="I243" s="131"/>
      <c r="J243" s="131"/>
      <c r="K243" s="1037"/>
      <c r="L243" s="1088" t="s">
        <v>210</v>
      </c>
      <c r="M243" s="1075" t="s">
        <v>899</v>
      </c>
      <c r="N243" s="1064" t="s">
        <v>374</v>
      </c>
      <c r="O243" s="1009">
        <f>'사. 임직원보수 일람표'!G161</f>
        <v>1821000</v>
      </c>
      <c r="P243" s="1069" t="s">
        <v>744</v>
      </c>
      <c r="Q243" s="1096">
        <v>60</v>
      </c>
      <c r="R243" s="1069" t="s">
        <v>744</v>
      </c>
      <c r="S243" s="1097">
        <v>1</v>
      </c>
      <c r="T243" s="1071" t="s">
        <v>410</v>
      </c>
      <c r="U243" s="1090">
        <f>O243*60%</f>
        <v>1092600</v>
      </c>
    </row>
    <row r="244" spans="1:26" ht="21.75" hidden="1" customHeight="1">
      <c r="A244" s="605"/>
      <c r="B244" s="606"/>
      <c r="C244" s="606"/>
      <c r="D244" s="607"/>
      <c r="E244" s="608"/>
      <c r="F244" s="609"/>
      <c r="G244" s="647"/>
      <c r="H244" s="642"/>
      <c r="I244" s="131"/>
      <c r="J244" s="131"/>
      <c r="K244" s="1037"/>
      <c r="L244" s="1088" t="s">
        <v>210</v>
      </c>
      <c r="M244" s="1075" t="s">
        <v>899</v>
      </c>
      <c r="N244" s="1064" t="s">
        <v>375</v>
      </c>
      <c r="O244" s="1009">
        <f>'사. 임직원보수 일람표'!G164</f>
        <v>1929000</v>
      </c>
      <c r="P244" s="1069" t="s">
        <v>744</v>
      </c>
      <c r="Q244" s="1096">
        <v>60</v>
      </c>
      <c r="R244" s="1069" t="s">
        <v>744</v>
      </c>
      <c r="S244" s="1097">
        <v>1</v>
      </c>
      <c r="T244" s="1071" t="s">
        <v>410</v>
      </c>
      <c r="U244" s="1090">
        <f>O244*60%</f>
        <v>1157400</v>
      </c>
    </row>
    <row r="245" spans="1:26" ht="21.75" hidden="1" customHeight="1">
      <c r="A245" s="605"/>
      <c r="B245" s="606"/>
      <c r="C245" s="606"/>
      <c r="D245" s="607"/>
      <c r="E245" s="608"/>
      <c r="F245" s="609"/>
      <c r="G245" s="647"/>
      <c r="H245" s="642"/>
      <c r="I245" s="131"/>
      <c r="J245" s="131"/>
      <c r="K245" s="1037"/>
      <c r="L245" s="1088" t="s">
        <v>210</v>
      </c>
      <c r="M245" s="1075" t="s">
        <v>899</v>
      </c>
      <c r="N245" s="1064" t="s">
        <v>376</v>
      </c>
      <c r="O245" s="1009">
        <f>'사. 임직원보수 일람표'!G165</f>
        <v>1873000</v>
      </c>
      <c r="P245" s="1069" t="s">
        <v>744</v>
      </c>
      <c r="Q245" s="1096">
        <v>60</v>
      </c>
      <c r="R245" s="1069" t="s">
        <v>744</v>
      </c>
      <c r="S245" s="1097">
        <v>1</v>
      </c>
      <c r="T245" s="1071" t="s">
        <v>410</v>
      </c>
      <c r="U245" s="1090">
        <f>O245*60%</f>
        <v>1123800</v>
      </c>
      <c r="V245" s="582">
        <f>SUM(U234:U245)</f>
        <v>18033600</v>
      </c>
      <c r="W245" s="582">
        <f>'사. 임직원보수 일람표'!I169</f>
        <v>18033600</v>
      </c>
    </row>
    <row r="246" spans="1:26" ht="21.75" customHeight="1">
      <c r="A246" s="605"/>
      <c r="B246" s="606"/>
      <c r="C246" s="606"/>
      <c r="D246" s="607"/>
      <c r="E246" s="608"/>
      <c r="F246" s="609"/>
      <c r="G246" s="647"/>
      <c r="H246" s="642"/>
      <c r="I246" s="131"/>
      <c r="J246" s="131"/>
      <c r="K246" s="1037"/>
      <c r="L246" s="1350" t="s">
        <v>165</v>
      </c>
      <c r="M246" s="1351"/>
      <c r="N246" s="1351"/>
      <c r="O246" s="1091"/>
      <c r="P246" s="1092"/>
      <c r="Q246" s="1093"/>
      <c r="R246" s="1092"/>
      <c r="S246" s="1094"/>
      <c r="T246" s="1095"/>
      <c r="U246" s="1155">
        <f>SUM(U247:U296)</f>
        <v>24500000</v>
      </c>
      <c r="V246" s="582">
        <f>'사. 임직원보수 일람표'!J202</f>
        <v>24500000</v>
      </c>
      <c r="Z246" s="1011" t="e">
        <f>'사. 임직원보수 일람표'!#REF!</f>
        <v>#REF!</v>
      </c>
    </row>
    <row r="247" spans="1:26" ht="21.75" hidden="1" customHeight="1">
      <c r="A247" s="605"/>
      <c r="B247" s="606"/>
      <c r="C247" s="606"/>
      <c r="D247" s="607"/>
      <c r="E247" s="608"/>
      <c r="F247" s="609"/>
      <c r="G247" s="647"/>
      <c r="H247" s="642"/>
      <c r="I247" s="131"/>
      <c r="J247" s="131"/>
      <c r="K247" s="1037"/>
      <c r="L247" s="1088" t="s">
        <v>174</v>
      </c>
      <c r="M247" s="1064" t="s">
        <v>174</v>
      </c>
      <c r="N247" s="1064" t="s">
        <v>175</v>
      </c>
      <c r="O247" s="1009">
        <f t="shared" ref="O247:O278" si="10">U247/S247</f>
        <v>120000</v>
      </c>
      <c r="P247" s="1069" t="s">
        <v>744</v>
      </c>
      <c r="Q247" s="1089">
        <v>1</v>
      </c>
      <c r="R247" s="1069" t="s">
        <v>744</v>
      </c>
      <c r="S247" s="1070">
        <v>12</v>
      </c>
      <c r="T247" s="1071" t="s">
        <v>410</v>
      </c>
      <c r="U247" s="1090">
        <f>'사. 임직원보수 일람표'!J7</f>
        <v>1440000</v>
      </c>
    </row>
    <row r="248" spans="1:26" ht="21.75" hidden="1" customHeight="1">
      <c r="A248" s="605"/>
      <c r="B248" s="606"/>
      <c r="C248" s="606"/>
      <c r="D248" s="607"/>
      <c r="E248" s="608"/>
      <c r="F248" s="609"/>
      <c r="G248" s="647"/>
      <c r="H248" s="642"/>
      <c r="I248" s="131"/>
      <c r="J248" s="131"/>
      <c r="K248" s="1037"/>
      <c r="L248" s="1088" t="s">
        <v>749</v>
      </c>
      <c r="M248" s="1064" t="s">
        <v>747</v>
      </c>
      <c r="N248" s="1064" t="s">
        <v>182</v>
      </c>
      <c r="O248" s="1009">
        <f t="shared" si="10"/>
        <v>40000</v>
      </c>
      <c r="P248" s="1069" t="s">
        <v>744</v>
      </c>
      <c r="Q248" s="1089">
        <v>1</v>
      </c>
      <c r="R248" s="1069" t="s">
        <v>744</v>
      </c>
      <c r="S248" s="1070">
        <v>12</v>
      </c>
      <c r="T248" s="1071" t="s">
        <v>410</v>
      </c>
      <c r="U248" s="1090">
        <f>'사. 임직원보수 일람표'!J9</f>
        <v>480000</v>
      </c>
    </row>
    <row r="249" spans="1:26" ht="21.75" hidden="1" customHeight="1">
      <c r="A249" s="605"/>
      <c r="B249" s="606"/>
      <c r="C249" s="606"/>
      <c r="D249" s="607"/>
      <c r="E249" s="608"/>
      <c r="F249" s="609"/>
      <c r="G249" s="647"/>
      <c r="H249" s="642"/>
      <c r="I249" s="131"/>
      <c r="J249" s="131"/>
      <c r="K249" s="1037"/>
      <c r="L249" s="1088" t="s">
        <v>750</v>
      </c>
      <c r="M249" s="1064" t="s">
        <v>748</v>
      </c>
      <c r="N249" s="1064" t="s">
        <v>188</v>
      </c>
      <c r="O249" s="1009">
        <f t="shared" si="10"/>
        <v>40000</v>
      </c>
      <c r="P249" s="1069" t="s">
        <v>744</v>
      </c>
      <c r="Q249" s="1089">
        <v>1</v>
      </c>
      <c r="R249" s="1069" t="s">
        <v>744</v>
      </c>
      <c r="S249" s="1070">
        <v>12</v>
      </c>
      <c r="T249" s="1071" t="s">
        <v>410</v>
      </c>
      <c r="U249" s="1090">
        <f>'사. 임직원보수 일람표'!J11</f>
        <v>480000</v>
      </c>
    </row>
    <row r="250" spans="1:26" ht="21.75" hidden="1" customHeight="1">
      <c r="A250" s="605"/>
      <c r="B250" s="606"/>
      <c r="C250" s="606"/>
      <c r="D250" s="607"/>
      <c r="E250" s="608"/>
      <c r="F250" s="609"/>
      <c r="G250" s="647"/>
      <c r="H250" s="642"/>
      <c r="I250" s="131"/>
      <c r="J250" s="131"/>
      <c r="K250" s="1037"/>
      <c r="L250" s="1088" t="s">
        <v>755</v>
      </c>
      <c r="M250" s="1064" t="s">
        <v>748</v>
      </c>
      <c r="N250" s="1064" t="s">
        <v>203</v>
      </c>
      <c r="O250" s="1009">
        <f t="shared" si="10"/>
        <v>40000</v>
      </c>
      <c r="P250" s="1069" t="s">
        <v>744</v>
      </c>
      <c r="Q250" s="1089">
        <v>1</v>
      </c>
      <c r="R250" s="1069" t="s">
        <v>744</v>
      </c>
      <c r="S250" s="1070">
        <v>12</v>
      </c>
      <c r="T250" s="1071" t="s">
        <v>410</v>
      </c>
      <c r="U250" s="1090">
        <f>'사. 임직원보수 일람표'!J13</f>
        <v>480000</v>
      </c>
    </row>
    <row r="251" spans="1:26" ht="21.75" hidden="1" customHeight="1">
      <c r="A251" s="605"/>
      <c r="B251" s="606"/>
      <c r="C251" s="606"/>
      <c r="D251" s="607"/>
      <c r="E251" s="608"/>
      <c r="F251" s="609"/>
      <c r="G251" s="647"/>
      <c r="H251" s="642"/>
      <c r="I251" s="131"/>
      <c r="J251" s="131"/>
      <c r="K251" s="1037"/>
      <c r="L251" s="1088" t="s">
        <v>193</v>
      </c>
      <c r="M251" s="1064" t="s">
        <v>748</v>
      </c>
      <c r="N251" s="1064" t="s">
        <v>192</v>
      </c>
      <c r="O251" s="1009">
        <f t="shared" si="10"/>
        <v>40000</v>
      </c>
      <c r="P251" s="1069" t="s">
        <v>744</v>
      </c>
      <c r="Q251" s="1089">
        <v>1</v>
      </c>
      <c r="R251" s="1069" t="s">
        <v>744</v>
      </c>
      <c r="S251" s="1070">
        <v>7</v>
      </c>
      <c r="T251" s="1071" t="s">
        <v>410</v>
      </c>
      <c r="U251" s="1090">
        <f>'사. 임직원보수 일람표'!J15</f>
        <v>280000</v>
      </c>
    </row>
    <row r="252" spans="1:26" ht="21.75" hidden="1" customHeight="1">
      <c r="A252" s="605"/>
      <c r="B252" s="606"/>
      <c r="C252" s="606"/>
      <c r="D252" s="607"/>
      <c r="E252" s="608"/>
      <c r="F252" s="609"/>
      <c r="G252" s="647"/>
      <c r="H252" s="642"/>
      <c r="I252" s="131"/>
      <c r="J252" s="131"/>
      <c r="K252" s="1037"/>
      <c r="L252" s="1088" t="s">
        <v>193</v>
      </c>
      <c r="M252" s="1064"/>
      <c r="N252" s="1064" t="s">
        <v>263</v>
      </c>
      <c r="O252" s="1009">
        <f t="shared" si="10"/>
        <v>40000</v>
      </c>
      <c r="P252" s="1069" t="s">
        <v>744</v>
      </c>
      <c r="Q252" s="1089">
        <v>1</v>
      </c>
      <c r="R252" s="1069" t="s">
        <v>744</v>
      </c>
      <c r="S252" s="1070">
        <v>4</v>
      </c>
      <c r="T252" s="1071" t="s">
        <v>410</v>
      </c>
      <c r="U252" s="1090">
        <f>'사. 임직원보수 일람표'!J17</f>
        <v>160000</v>
      </c>
    </row>
    <row r="253" spans="1:26" ht="21.75" hidden="1" customHeight="1">
      <c r="A253" s="605"/>
      <c r="B253" s="606"/>
      <c r="C253" s="606"/>
      <c r="D253" s="607"/>
      <c r="E253" s="608"/>
      <c r="F253" s="609"/>
      <c r="G253" s="647"/>
      <c r="H253" s="642"/>
      <c r="I253" s="131"/>
      <c r="J253" s="131"/>
      <c r="K253" s="1037"/>
      <c r="L253" s="1088" t="s">
        <v>194</v>
      </c>
      <c r="M253" s="1064"/>
      <c r="N253" s="1064" t="s">
        <v>195</v>
      </c>
      <c r="O253" s="1009">
        <f t="shared" si="10"/>
        <v>60000</v>
      </c>
      <c r="P253" s="1069" t="s">
        <v>744</v>
      </c>
      <c r="Q253" s="1089">
        <v>1</v>
      </c>
      <c r="R253" s="1069" t="s">
        <v>744</v>
      </c>
      <c r="S253" s="1070">
        <v>12</v>
      </c>
      <c r="T253" s="1071" t="s">
        <v>410</v>
      </c>
      <c r="U253" s="1090">
        <f>'사. 임직원보수 일람표'!J19</f>
        <v>720000</v>
      </c>
    </row>
    <row r="254" spans="1:26" ht="21.75" hidden="1" customHeight="1">
      <c r="A254" s="605"/>
      <c r="B254" s="606"/>
      <c r="C254" s="606"/>
      <c r="D254" s="607"/>
      <c r="E254" s="608"/>
      <c r="F254" s="609"/>
      <c r="G254" s="647"/>
      <c r="H254" s="642"/>
      <c r="I254" s="131"/>
      <c r="J254" s="131"/>
      <c r="K254" s="1037"/>
      <c r="L254" s="1088" t="s">
        <v>198</v>
      </c>
      <c r="M254" s="1064"/>
      <c r="N254" s="1064" t="s">
        <v>261</v>
      </c>
      <c r="O254" s="1009">
        <f t="shared" si="10"/>
        <v>40000</v>
      </c>
      <c r="P254" s="1069" t="s">
        <v>744</v>
      </c>
      <c r="Q254" s="1089">
        <v>1</v>
      </c>
      <c r="R254" s="1069" t="s">
        <v>744</v>
      </c>
      <c r="S254" s="1070">
        <v>2</v>
      </c>
      <c r="T254" s="1071" t="s">
        <v>410</v>
      </c>
      <c r="U254" s="1090">
        <f>'사. 임직원보수 일람표'!J21</f>
        <v>80000</v>
      </c>
    </row>
    <row r="255" spans="1:26" ht="21.75" hidden="1" customHeight="1">
      <c r="A255" s="605"/>
      <c r="B255" s="606"/>
      <c r="C255" s="606"/>
      <c r="D255" s="607"/>
      <c r="E255" s="608"/>
      <c r="F255" s="609"/>
      <c r="G255" s="647"/>
      <c r="H255" s="642"/>
      <c r="I255" s="131"/>
      <c r="J255" s="131"/>
      <c r="K255" s="1037"/>
      <c r="L255" s="1088" t="s">
        <v>198</v>
      </c>
      <c r="M255" s="1064"/>
      <c r="N255" s="1064" t="s">
        <v>199</v>
      </c>
      <c r="O255" s="1009">
        <f t="shared" si="10"/>
        <v>40000</v>
      </c>
      <c r="P255" s="1069" t="s">
        <v>744</v>
      </c>
      <c r="Q255" s="1089">
        <v>1</v>
      </c>
      <c r="R255" s="1069" t="s">
        <v>744</v>
      </c>
      <c r="S255" s="1070">
        <v>9</v>
      </c>
      <c r="T255" s="1071" t="s">
        <v>410</v>
      </c>
      <c r="U255" s="1090">
        <f>'사. 임직원보수 일람표'!J23</f>
        <v>360000</v>
      </c>
    </row>
    <row r="256" spans="1:26" ht="21.75" hidden="1" customHeight="1">
      <c r="A256" s="605"/>
      <c r="B256" s="606"/>
      <c r="C256" s="606"/>
      <c r="D256" s="607"/>
      <c r="E256" s="608"/>
      <c r="F256" s="609"/>
      <c r="G256" s="647"/>
      <c r="H256" s="642"/>
      <c r="I256" s="131"/>
      <c r="J256" s="131"/>
      <c r="K256" s="1037"/>
      <c r="L256" s="1088" t="s">
        <v>204</v>
      </c>
      <c r="M256" s="1064"/>
      <c r="N256" s="1064" t="s">
        <v>205</v>
      </c>
      <c r="O256" s="1009">
        <f t="shared" si="10"/>
        <v>60000</v>
      </c>
      <c r="P256" s="1069" t="s">
        <v>744</v>
      </c>
      <c r="Q256" s="1089">
        <v>1</v>
      </c>
      <c r="R256" s="1069" t="s">
        <v>744</v>
      </c>
      <c r="S256" s="1070">
        <v>12</v>
      </c>
      <c r="T256" s="1071" t="s">
        <v>410</v>
      </c>
      <c r="U256" s="1090">
        <f>'사. 임직원보수 일람표'!J25</f>
        <v>720000</v>
      </c>
    </row>
    <row r="257" spans="1:21" ht="21.75" hidden="1" customHeight="1">
      <c r="A257" s="605"/>
      <c r="B257" s="606"/>
      <c r="C257" s="606"/>
      <c r="D257" s="607"/>
      <c r="E257" s="608"/>
      <c r="F257" s="609"/>
      <c r="G257" s="647"/>
      <c r="H257" s="642"/>
      <c r="I257" s="131"/>
      <c r="J257" s="131"/>
      <c r="K257" s="1037"/>
      <c r="L257" s="1088" t="s">
        <v>767</v>
      </c>
      <c r="M257" s="1064" t="s">
        <v>747</v>
      </c>
      <c r="N257" s="1064" t="s">
        <v>186</v>
      </c>
      <c r="O257" s="1009">
        <f t="shared" si="10"/>
        <v>40000</v>
      </c>
      <c r="P257" s="1069" t="s">
        <v>744</v>
      </c>
      <c r="Q257" s="1089">
        <v>1</v>
      </c>
      <c r="R257" s="1069" t="s">
        <v>744</v>
      </c>
      <c r="S257" s="1070">
        <v>12</v>
      </c>
      <c r="T257" s="1071" t="s">
        <v>410</v>
      </c>
      <c r="U257" s="1090">
        <f>'사. 임직원보수 일람표'!J27</f>
        <v>480000</v>
      </c>
    </row>
    <row r="258" spans="1:21" ht="21.75" hidden="1" customHeight="1">
      <c r="A258" s="605"/>
      <c r="B258" s="606"/>
      <c r="C258" s="606"/>
      <c r="D258" s="607"/>
      <c r="E258" s="608"/>
      <c r="F258" s="609"/>
      <c r="G258" s="647"/>
      <c r="H258" s="642"/>
      <c r="I258" s="131"/>
      <c r="J258" s="131"/>
      <c r="K258" s="1037"/>
      <c r="L258" s="1088" t="s">
        <v>755</v>
      </c>
      <c r="M258" s="1064" t="s">
        <v>748</v>
      </c>
      <c r="N258" s="1064" t="s">
        <v>207</v>
      </c>
      <c r="O258" s="1009">
        <f t="shared" si="10"/>
        <v>60000</v>
      </c>
      <c r="P258" s="1069" t="s">
        <v>744</v>
      </c>
      <c r="Q258" s="1089">
        <v>1</v>
      </c>
      <c r="R258" s="1069" t="s">
        <v>744</v>
      </c>
      <c r="S258" s="1070">
        <v>12</v>
      </c>
      <c r="T258" s="1071" t="s">
        <v>410</v>
      </c>
      <c r="U258" s="1090">
        <f>'사. 임직원보수 일람표'!J29</f>
        <v>720000</v>
      </c>
    </row>
    <row r="259" spans="1:21" ht="21.75" hidden="1" customHeight="1">
      <c r="A259" s="605"/>
      <c r="B259" s="606"/>
      <c r="C259" s="606"/>
      <c r="D259" s="607"/>
      <c r="E259" s="608"/>
      <c r="F259" s="609"/>
      <c r="G259" s="647"/>
      <c r="H259" s="642"/>
      <c r="I259" s="131"/>
      <c r="J259" s="131"/>
      <c r="K259" s="1037"/>
      <c r="L259" s="1088" t="s">
        <v>210</v>
      </c>
      <c r="M259" s="1064" t="s">
        <v>748</v>
      </c>
      <c r="N259" s="1064" t="s">
        <v>211</v>
      </c>
      <c r="O259" s="1009">
        <f t="shared" si="10"/>
        <v>40000</v>
      </c>
      <c r="P259" s="1069" t="s">
        <v>744</v>
      </c>
      <c r="Q259" s="1089">
        <v>1</v>
      </c>
      <c r="R259" s="1069" t="s">
        <v>744</v>
      </c>
      <c r="S259" s="1070">
        <v>12</v>
      </c>
      <c r="T259" s="1071" t="s">
        <v>410</v>
      </c>
      <c r="U259" s="1090">
        <f>'사. 임직원보수 일람표'!J33</f>
        <v>480000</v>
      </c>
    </row>
    <row r="260" spans="1:21" ht="21.75" hidden="1" customHeight="1">
      <c r="A260" s="605"/>
      <c r="B260" s="606"/>
      <c r="C260" s="606"/>
      <c r="D260" s="607"/>
      <c r="E260" s="608"/>
      <c r="F260" s="609"/>
      <c r="G260" s="647"/>
      <c r="H260" s="642"/>
      <c r="I260" s="131"/>
      <c r="J260" s="131"/>
      <c r="K260" s="1037"/>
      <c r="L260" s="1088" t="s">
        <v>210</v>
      </c>
      <c r="M260" s="1064"/>
      <c r="N260" s="1064" t="s">
        <v>212</v>
      </c>
      <c r="O260" s="1009">
        <f t="shared" si="10"/>
        <v>120000</v>
      </c>
      <c r="P260" s="1069" t="s">
        <v>744</v>
      </c>
      <c r="Q260" s="1089">
        <v>1</v>
      </c>
      <c r="R260" s="1069" t="s">
        <v>744</v>
      </c>
      <c r="S260" s="1070">
        <v>12</v>
      </c>
      <c r="T260" s="1071" t="s">
        <v>410</v>
      </c>
      <c r="U260" s="1090">
        <f>'사. 임직원보수 일람표'!J35</f>
        <v>1440000</v>
      </c>
    </row>
    <row r="261" spans="1:21" ht="21.75" hidden="1" customHeight="1">
      <c r="A261" s="605"/>
      <c r="B261" s="606"/>
      <c r="C261" s="606"/>
      <c r="D261" s="607"/>
      <c r="E261" s="608"/>
      <c r="F261" s="609"/>
      <c r="G261" s="647"/>
      <c r="H261" s="642"/>
      <c r="I261" s="131"/>
      <c r="J261" s="131"/>
      <c r="K261" s="1037"/>
      <c r="L261" s="1088" t="s">
        <v>210</v>
      </c>
      <c r="M261" s="1064"/>
      <c r="N261" s="1064" t="s">
        <v>213</v>
      </c>
      <c r="O261" s="1009">
        <f t="shared" si="10"/>
        <v>40000</v>
      </c>
      <c r="P261" s="1069" t="s">
        <v>744</v>
      </c>
      <c r="Q261" s="1089">
        <v>1</v>
      </c>
      <c r="R261" s="1069" t="s">
        <v>744</v>
      </c>
      <c r="S261" s="1070">
        <v>12</v>
      </c>
      <c r="T261" s="1071" t="s">
        <v>410</v>
      </c>
      <c r="U261" s="1090">
        <f>'사. 임직원보수 일람표'!J37</f>
        <v>480000</v>
      </c>
    </row>
    <row r="262" spans="1:21" ht="21.75" hidden="1" customHeight="1">
      <c r="A262" s="605"/>
      <c r="B262" s="606"/>
      <c r="C262" s="606"/>
      <c r="D262" s="607"/>
      <c r="E262" s="608"/>
      <c r="F262" s="609"/>
      <c r="G262" s="647"/>
      <c r="H262" s="642"/>
      <c r="I262" s="131"/>
      <c r="J262" s="131"/>
      <c r="K262" s="1037"/>
      <c r="L262" s="1088" t="s">
        <v>210</v>
      </c>
      <c r="M262" s="1064" t="s">
        <v>748</v>
      </c>
      <c r="N262" s="1064" t="s">
        <v>218</v>
      </c>
      <c r="O262" s="1009">
        <f t="shared" si="10"/>
        <v>120000</v>
      </c>
      <c r="P262" s="1069" t="s">
        <v>744</v>
      </c>
      <c r="Q262" s="1089">
        <v>1</v>
      </c>
      <c r="R262" s="1069" t="s">
        <v>744</v>
      </c>
      <c r="S262" s="1070">
        <v>12</v>
      </c>
      <c r="T262" s="1071" t="s">
        <v>410</v>
      </c>
      <c r="U262" s="1090">
        <f>'사. 임직원보수 일람표'!J43</f>
        <v>1440000</v>
      </c>
    </row>
    <row r="263" spans="1:21" ht="21.75" hidden="1" customHeight="1">
      <c r="A263" s="605"/>
      <c r="B263" s="606"/>
      <c r="C263" s="606"/>
      <c r="D263" s="607"/>
      <c r="E263" s="608"/>
      <c r="F263" s="609"/>
      <c r="G263" s="647"/>
      <c r="H263" s="642"/>
      <c r="I263" s="131"/>
      <c r="J263" s="131"/>
      <c r="K263" s="1037"/>
      <c r="L263" s="1088" t="s">
        <v>210</v>
      </c>
      <c r="M263" s="1064" t="s">
        <v>748</v>
      </c>
      <c r="N263" s="1064" t="s">
        <v>219</v>
      </c>
      <c r="O263" s="1009">
        <f t="shared" si="10"/>
        <v>40000</v>
      </c>
      <c r="P263" s="1069" t="s">
        <v>744</v>
      </c>
      <c r="Q263" s="1089">
        <v>1</v>
      </c>
      <c r="R263" s="1069" t="s">
        <v>744</v>
      </c>
      <c r="S263" s="1070">
        <v>12</v>
      </c>
      <c r="T263" s="1071" t="s">
        <v>410</v>
      </c>
      <c r="U263" s="1090">
        <f>'사. 임직원보수 일람표'!J45</f>
        <v>480000</v>
      </c>
    </row>
    <row r="264" spans="1:21" ht="21.75" hidden="1" customHeight="1">
      <c r="A264" s="605"/>
      <c r="B264" s="606"/>
      <c r="C264" s="606"/>
      <c r="D264" s="607"/>
      <c r="E264" s="608"/>
      <c r="F264" s="609"/>
      <c r="G264" s="647"/>
      <c r="H264" s="642"/>
      <c r="I264" s="131"/>
      <c r="J264" s="131"/>
      <c r="K264" s="1037"/>
      <c r="L264" s="1088" t="s">
        <v>210</v>
      </c>
      <c r="M264" s="1064"/>
      <c r="N264" s="1064" t="s">
        <v>222</v>
      </c>
      <c r="O264" s="1009">
        <f t="shared" si="10"/>
        <v>40000</v>
      </c>
      <c r="P264" s="1069" t="s">
        <v>744</v>
      </c>
      <c r="Q264" s="1089">
        <v>1</v>
      </c>
      <c r="R264" s="1069" t="s">
        <v>744</v>
      </c>
      <c r="S264" s="1070">
        <v>12</v>
      </c>
      <c r="T264" s="1071" t="s">
        <v>410</v>
      </c>
      <c r="U264" s="1090">
        <f>'사. 임직원보수 일람표'!J47</f>
        <v>480000</v>
      </c>
    </row>
    <row r="265" spans="1:21" ht="21.75" hidden="1" customHeight="1">
      <c r="A265" s="605"/>
      <c r="B265" s="606"/>
      <c r="C265" s="606"/>
      <c r="D265" s="607"/>
      <c r="E265" s="608"/>
      <c r="F265" s="609"/>
      <c r="G265" s="647"/>
      <c r="H265" s="642"/>
      <c r="I265" s="131"/>
      <c r="J265" s="131"/>
      <c r="K265" s="1037"/>
      <c r="L265" s="1088" t="s">
        <v>210</v>
      </c>
      <c r="M265" s="1064"/>
      <c r="N265" s="1064" t="s">
        <v>223</v>
      </c>
      <c r="O265" s="1009">
        <f t="shared" si="10"/>
        <v>20000</v>
      </c>
      <c r="P265" s="1069" t="s">
        <v>744</v>
      </c>
      <c r="Q265" s="1089">
        <v>1</v>
      </c>
      <c r="R265" s="1069" t="s">
        <v>744</v>
      </c>
      <c r="S265" s="1070">
        <v>5</v>
      </c>
      <c r="T265" s="1071" t="s">
        <v>410</v>
      </c>
      <c r="U265" s="1090">
        <f>'사. 임직원보수 일람표'!J49</f>
        <v>100000</v>
      </c>
    </row>
    <row r="266" spans="1:21" ht="21.75" hidden="1" customHeight="1">
      <c r="A266" s="605"/>
      <c r="B266" s="606"/>
      <c r="C266" s="606"/>
      <c r="D266" s="607"/>
      <c r="E266" s="608"/>
      <c r="F266" s="609"/>
      <c r="G266" s="647"/>
      <c r="H266" s="642"/>
      <c r="I266" s="131"/>
      <c r="J266" s="131"/>
      <c r="K266" s="1037"/>
      <c r="L266" s="1088" t="s">
        <v>210</v>
      </c>
      <c r="M266" s="1064"/>
      <c r="N266" s="1064" t="s">
        <v>224</v>
      </c>
      <c r="O266" s="1009">
        <f t="shared" si="10"/>
        <v>60000</v>
      </c>
      <c r="P266" s="1069" t="s">
        <v>744</v>
      </c>
      <c r="Q266" s="1089">
        <v>1</v>
      </c>
      <c r="R266" s="1069" t="s">
        <v>744</v>
      </c>
      <c r="S266" s="1070">
        <v>12</v>
      </c>
      <c r="T266" s="1071" t="s">
        <v>410</v>
      </c>
      <c r="U266" s="1090">
        <f>'사. 임직원보수 일람표'!J51</f>
        <v>720000</v>
      </c>
    </row>
    <row r="267" spans="1:21" ht="21.75" hidden="1" customHeight="1">
      <c r="A267" s="605"/>
      <c r="B267" s="606"/>
      <c r="C267" s="606"/>
      <c r="D267" s="607"/>
      <c r="E267" s="608"/>
      <c r="F267" s="609"/>
      <c r="G267" s="647"/>
      <c r="H267" s="642"/>
      <c r="I267" s="131"/>
      <c r="J267" s="131"/>
      <c r="K267" s="1037"/>
      <c r="L267" s="1088" t="s">
        <v>210</v>
      </c>
      <c r="M267" s="1064"/>
      <c r="N267" s="1064" t="s">
        <v>225</v>
      </c>
      <c r="O267" s="1009">
        <f t="shared" si="10"/>
        <v>40000</v>
      </c>
      <c r="P267" s="1069" t="s">
        <v>744</v>
      </c>
      <c r="Q267" s="1089">
        <v>1</v>
      </c>
      <c r="R267" s="1069" t="s">
        <v>744</v>
      </c>
      <c r="S267" s="1070">
        <v>12</v>
      </c>
      <c r="T267" s="1071" t="s">
        <v>410</v>
      </c>
      <c r="U267" s="1090">
        <f>'사. 임직원보수 일람표'!J53</f>
        <v>480000</v>
      </c>
    </row>
    <row r="268" spans="1:21" ht="21.75" hidden="1" customHeight="1">
      <c r="A268" s="605"/>
      <c r="B268" s="606"/>
      <c r="C268" s="606"/>
      <c r="D268" s="607"/>
      <c r="E268" s="608"/>
      <c r="F268" s="609"/>
      <c r="G268" s="647"/>
      <c r="H268" s="642"/>
      <c r="I268" s="131"/>
      <c r="J268" s="131"/>
      <c r="K268" s="1037"/>
      <c r="L268" s="1088" t="s">
        <v>210</v>
      </c>
      <c r="M268" s="1064"/>
      <c r="N268" s="1064" t="s">
        <v>226</v>
      </c>
      <c r="O268" s="1009">
        <f t="shared" si="10"/>
        <v>120000</v>
      </c>
      <c r="P268" s="1069" t="s">
        <v>744</v>
      </c>
      <c r="Q268" s="1089">
        <v>1</v>
      </c>
      <c r="R268" s="1069" t="s">
        <v>744</v>
      </c>
      <c r="S268" s="1070">
        <v>7</v>
      </c>
      <c r="T268" s="1071" t="s">
        <v>410</v>
      </c>
      <c r="U268" s="1090">
        <f>'사. 임직원보수 일람표'!J55</f>
        <v>840000</v>
      </c>
    </row>
    <row r="269" spans="1:21" ht="21.75" hidden="1" customHeight="1">
      <c r="A269" s="605"/>
      <c r="B269" s="606"/>
      <c r="C269" s="606"/>
      <c r="D269" s="607"/>
      <c r="E269" s="608"/>
      <c r="F269" s="609"/>
      <c r="G269" s="647"/>
      <c r="H269" s="642"/>
      <c r="I269" s="131"/>
      <c r="J269" s="131"/>
      <c r="K269" s="1037"/>
      <c r="L269" s="1088" t="s">
        <v>210</v>
      </c>
      <c r="M269" s="1064"/>
      <c r="N269" s="1064" t="s">
        <v>227</v>
      </c>
      <c r="O269" s="1009">
        <f t="shared" si="10"/>
        <v>100000</v>
      </c>
      <c r="P269" s="1069" t="s">
        <v>744</v>
      </c>
      <c r="Q269" s="1089">
        <v>1</v>
      </c>
      <c r="R269" s="1069" t="s">
        <v>744</v>
      </c>
      <c r="S269" s="1070">
        <v>12</v>
      </c>
      <c r="T269" s="1071" t="s">
        <v>410</v>
      </c>
      <c r="U269" s="1090">
        <f>'사. 임직원보수 일람표'!J57</f>
        <v>1200000</v>
      </c>
    </row>
    <row r="270" spans="1:21" ht="21.75" hidden="1" customHeight="1">
      <c r="A270" s="605"/>
      <c r="B270" s="606"/>
      <c r="C270" s="606"/>
      <c r="D270" s="607"/>
      <c r="E270" s="608"/>
      <c r="F270" s="609"/>
      <c r="G270" s="647"/>
      <c r="H270" s="642"/>
      <c r="I270" s="131"/>
      <c r="J270" s="131"/>
      <c r="K270" s="1037"/>
      <c r="L270" s="1088" t="s">
        <v>210</v>
      </c>
      <c r="M270" s="1064"/>
      <c r="N270" s="1064" t="s">
        <v>232</v>
      </c>
      <c r="O270" s="1009">
        <f t="shared" si="10"/>
        <v>40000</v>
      </c>
      <c r="P270" s="1069" t="s">
        <v>744</v>
      </c>
      <c r="Q270" s="1089">
        <v>1</v>
      </c>
      <c r="R270" s="1069" t="s">
        <v>744</v>
      </c>
      <c r="S270" s="1070">
        <v>12</v>
      </c>
      <c r="T270" s="1071" t="s">
        <v>410</v>
      </c>
      <c r="U270" s="1090">
        <f>'사. 임직원보수 일람표'!J65</f>
        <v>480000</v>
      </c>
    </row>
    <row r="271" spans="1:21" ht="21.75" hidden="1" customHeight="1">
      <c r="A271" s="605"/>
      <c r="B271" s="606"/>
      <c r="C271" s="606"/>
      <c r="D271" s="607"/>
      <c r="E271" s="608"/>
      <c r="F271" s="609"/>
      <c r="G271" s="647"/>
      <c r="H271" s="642"/>
      <c r="I271" s="131"/>
      <c r="J271" s="131"/>
      <c r="K271" s="1037"/>
      <c r="L271" s="1088" t="s">
        <v>210</v>
      </c>
      <c r="M271" s="1064"/>
      <c r="N271" s="1064" t="s">
        <v>234</v>
      </c>
      <c r="O271" s="1009">
        <f t="shared" si="10"/>
        <v>20000</v>
      </c>
      <c r="P271" s="1069" t="s">
        <v>744</v>
      </c>
      <c r="Q271" s="1089">
        <v>1</v>
      </c>
      <c r="R271" s="1069" t="s">
        <v>744</v>
      </c>
      <c r="S271" s="1070">
        <v>12</v>
      </c>
      <c r="T271" s="1071" t="s">
        <v>410</v>
      </c>
      <c r="U271" s="1090">
        <f>'사. 임직원보수 일람표'!J69</f>
        <v>240000</v>
      </c>
    </row>
    <row r="272" spans="1:21" ht="21.75" hidden="1" customHeight="1">
      <c r="A272" s="605"/>
      <c r="B272" s="606"/>
      <c r="C272" s="606"/>
      <c r="D272" s="607"/>
      <c r="E272" s="608"/>
      <c r="F272" s="609"/>
      <c r="G272" s="647"/>
      <c r="H272" s="642"/>
      <c r="I272" s="131"/>
      <c r="J272" s="131"/>
      <c r="K272" s="1037"/>
      <c r="L272" s="1088" t="s">
        <v>210</v>
      </c>
      <c r="M272" s="1064"/>
      <c r="N272" s="1064" t="s">
        <v>235</v>
      </c>
      <c r="O272" s="1009">
        <f t="shared" si="10"/>
        <v>40000</v>
      </c>
      <c r="P272" s="1069" t="s">
        <v>744</v>
      </c>
      <c r="Q272" s="1089">
        <v>1</v>
      </c>
      <c r="R272" s="1069" t="s">
        <v>744</v>
      </c>
      <c r="S272" s="1070">
        <v>12</v>
      </c>
      <c r="T272" s="1071" t="s">
        <v>410</v>
      </c>
      <c r="U272" s="1090">
        <f>'사. 임직원보수 일람표'!J71</f>
        <v>480000</v>
      </c>
    </row>
    <row r="273" spans="1:21" ht="21.75" hidden="1" customHeight="1">
      <c r="A273" s="605"/>
      <c r="B273" s="606"/>
      <c r="C273" s="606"/>
      <c r="D273" s="607"/>
      <c r="E273" s="608"/>
      <c r="F273" s="609"/>
      <c r="G273" s="647"/>
      <c r="H273" s="642"/>
      <c r="I273" s="131"/>
      <c r="J273" s="131"/>
      <c r="K273" s="1037"/>
      <c r="L273" s="1088" t="s">
        <v>210</v>
      </c>
      <c r="M273" s="1064"/>
      <c r="N273" s="1064" t="s">
        <v>236</v>
      </c>
      <c r="O273" s="1009">
        <f t="shared" si="10"/>
        <v>40000</v>
      </c>
      <c r="P273" s="1069" t="s">
        <v>744</v>
      </c>
      <c r="Q273" s="1089">
        <v>1</v>
      </c>
      <c r="R273" s="1069" t="s">
        <v>744</v>
      </c>
      <c r="S273" s="1070">
        <v>12</v>
      </c>
      <c r="T273" s="1071" t="s">
        <v>410</v>
      </c>
      <c r="U273" s="1090">
        <f>'사. 임직원보수 일람표'!J73</f>
        <v>480000</v>
      </c>
    </row>
    <row r="274" spans="1:21" ht="21.75" hidden="1" customHeight="1">
      <c r="A274" s="605"/>
      <c r="B274" s="606"/>
      <c r="C274" s="606"/>
      <c r="D274" s="607"/>
      <c r="E274" s="608"/>
      <c r="F274" s="609"/>
      <c r="G274" s="647"/>
      <c r="H274" s="642"/>
      <c r="I274" s="131"/>
      <c r="J274" s="131"/>
      <c r="K274" s="1037"/>
      <c r="L274" s="1088" t="s">
        <v>210</v>
      </c>
      <c r="M274" s="1064"/>
      <c r="N274" s="1064" t="s">
        <v>241</v>
      </c>
      <c r="O274" s="1009">
        <f t="shared" si="10"/>
        <v>20000</v>
      </c>
      <c r="P274" s="1069" t="s">
        <v>744</v>
      </c>
      <c r="Q274" s="1089">
        <v>1</v>
      </c>
      <c r="R274" s="1069" t="s">
        <v>744</v>
      </c>
      <c r="S274" s="1070">
        <v>12</v>
      </c>
      <c r="T274" s="1071" t="s">
        <v>410</v>
      </c>
      <c r="U274" s="1090">
        <f>'사. 임직원보수 일람표'!J79</f>
        <v>240000</v>
      </c>
    </row>
    <row r="275" spans="1:21" ht="21.75" hidden="1" customHeight="1">
      <c r="A275" s="605"/>
      <c r="B275" s="606"/>
      <c r="C275" s="606"/>
      <c r="D275" s="607"/>
      <c r="E275" s="608"/>
      <c r="F275" s="609"/>
      <c r="G275" s="647"/>
      <c r="H275" s="642"/>
      <c r="I275" s="131"/>
      <c r="J275" s="131"/>
      <c r="K275" s="1037"/>
      <c r="L275" s="1088" t="s">
        <v>210</v>
      </c>
      <c r="M275" s="1064"/>
      <c r="N275" s="1064" t="s">
        <v>797</v>
      </c>
      <c r="O275" s="1009">
        <f t="shared" si="10"/>
        <v>40000</v>
      </c>
      <c r="P275" s="1069" t="s">
        <v>744</v>
      </c>
      <c r="Q275" s="1089">
        <v>1</v>
      </c>
      <c r="R275" s="1069" t="s">
        <v>744</v>
      </c>
      <c r="S275" s="1070">
        <v>12</v>
      </c>
      <c r="T275" s="1071" t="s">
        <v>410</v>
      </c>
      <c r="U275" s="1090">
        <f>'사. 임직원보수 일람표'!J81</f>
        <v>480000</v>
      </c>
    </row>
    <row r="276" spans="1:21" ht="21.75" hidden="1" customHeight="1">
      <c r="A276" s="605"/>
      <c r="B276" s="606"/>
      <c r="C276" s="606"/>
      <c r="D276" s="607"/>
      <c r="E276" s="608"/>
      <c r="F276" s="609"/>
      <c r="G276" s="647"/>
      <c r="H276" s="642"/>
      <c r="I276" s="131"/>
      <c r="J276" s="131"/>
      <c r="K276" s="1037"/>
      <c r="L276" s="1088" t="s">
        <v>210</v>
      </c>
      <c r="M276" s="1064"/>
      <c r="N276" s="1064" t="s">
        <v>799</v>
      </c>
      <c r="O276" s="1009">
        <f t="shared" si="10"/>
        <v>20000</v>
      </c>
      <c r="P276" s="1069" t="s">
        <v>744</v>
      </c>
      <c r="Q276" s="1089">
        <v>1</v>
      </c>
      <c r="R276" s="1069" t="s">
        <v>744</v>
      </c>
      <c r="S276" s="1070">
        <v>12</v>
      </c>
      <c r="T276" s="1071" t="s">
        <v>410</v>
      </c>
      <c r="U276" s="1090">
        <f>'사. 임직원보수 일람표'!J85</f>
        <v>240000</v>
      </c>
    </row>
    <row r="277" spans="1:21" ht="21.75" hidden="1" customHeight="1">
      <c r="A277" s="605"/>
      <c r="B277" s="606"/>
      <c r="C277" s="606"/>
      <c r="D277" s="607"/>
      <c r="E277" s="608"/>
      <c r="F277" s="609"/>
      <c r="G277" s="647"/>
      <c r="H277" s="642"/>
      <c r="I277" s="131"/>
      <c r="J277" s="131"/>
      <c r="K277" s="1037"/>
      <c r="L277" s="1088" t="s">
        <v>210</v>
      </c>
      <c r="M277" s="1064"/>
      <c r="N277" s="1064" t="s">
        <v>802</v>
      </c>
      <c r="O277" s="1009">
        <f t="shared" si="10"/>
        <v>20000</v>
      </c>
      <c r="P277" s="1069" t="s">
        <v>744</v>
      </c>
      <c r="Q277" s="1089">
        <v>1</v>
      </c>
      <c r="R277" s="1069" t="s">
        <v>744</v>
      </c>
      <c r="S277" s="1070">
        <v>9</v>
      </c>
      <c r="T277" s="1071" t="s">
        <v>410</v>
      </c>
      <c r="U277" s="1090">
        <f>'사. 임직원보수 일람표'!J91</f>
        <v>180000</v>
      </c>
    </row>
    <row r="278" spans="1:21" ht="21.75" hidden="1" customHeight="1">
      <c r="A278" s="605"/>
      <c r="B278" s="606"/>
      <c r="C278" s="606"/>
      <c r="D278" s="607"/>
      <c r="E278" s="608"/>
      <c r="F278" s="609"/>
      <c r="G278" s="647"/>
      <c r="H278" s="642"/>
      <c r="I278" s="131"/>
      <c r="J278" s="131"/>
      <c r="K278" s="1037"/>
      <c r="L278" s="1088" t="s">
        <v>210</v>
      </c>
      <c r="M278" s="1064"/>
      <c r="N278" s="1064" t="s">
        <v>803</v>
      </c>
      <c r="O278" s="1009">
        <f t="shared" si="10"/>
        <v>20000</v>
      </c>
      <c r="P278" s="1069" t="s">
        <v>744</v>
      </c>
      <c r="Q278" s="1089">
        <v>1</v>
      </c>
      <c r="R278" s="1069" t="s">
        <v>744</v>
      </c>
      <c r="S278" s="1070">
        <v>9</v>
      </c>
      <c r="T278" s="1071" t="s">
        <v>410</v>
      </c>
      <c r="U278" s="1090">
        <f>'사. 임직원보수 일람표'!J93</f>
        <v>180000</v>
      </c>
    </row>
    <row r="279" spans="1:21" ht="21.75" hidden="1" customHeight="1">
      <c r="A279" s="605"/>
      <c r="B279" s="606"/>
      <c r="C279" s="606"/>
      <c r="D279" s="607"/>
      <c r="E279" s="608"/>
      <c r="F279" s="609"/>
      <c r="G279" s="647"/>
      <c r="H279" s="642"/>
      <c r="I279" s="131"/>
      <c r="J279" s="131"/>
      <c r="K279" s="1037"/>
      <c r="L279" s="1088" t="s">
        <v>210</v>
      </c>
      <c r="M279" s="1064"/>
      <c r="N279" s="1064" t="s">
        <v>806</v>
      </c>
      <c r="O279" s="1009">
        <f t="shared" ref="O279:O296" si="11">U279/S279</f>
        <v>260000</v>
      </c>
      <c r="P279" s="1069" t="s">
        <v>744</v>
      </c>
      <c r="Q279" s="1089">
        <v>1</v>
      </c>
      <c r="R279" s="1069" t="s">
        <v>744</v>
      </c>
      <c r="S279" s="1070">
        <v>6</v>
      </c>
      <c r="T279" s="1071" t="s">
        <v>410</v>
      </c>
      <c r="U279" s="1090">
        <f>'사. 임직원보수 일람표'!J99</f>
        <v>1560000</v>
      </c>
    </row>
    <row r="280" spans="1:21" ht="21.75" hidden="1" customHeight="1">
      <c r="A280" s="605"/>
      <c r="B280" s="606"/>
      <c r="C280" s="606"/>
      <c r="D280" s="607"/>
      <c r="E280" s="608"/>
      <c r="F280" s="609"/>
      <c r="G280" s="647"/>
      <c r="H280" s="642"/>
      <c r="I280" s="131"/>
      <c r="J280" s="131"/>
      <c r="K280" s="1037"/>
      <c r="L280" s="1088" t="s">
        <v>210</v>
      </c>
      <c r="M280" s="1064"/>
      <c r="N280" s="1064" t="s">
        <v>807</v>
      </c>
      <c r="O280" s="1009">
        <f t="shared" si="11"/>
        <v>40000</v>
      </c>
      <c r="P280" s="1069" t="s">
        <v>744</v>
      </c>
      <c r="Q280" s="1089">
        <v>1</v>
      </c>
      <c r="R280" s="1069" t="s">
        <v>744</v>
      </c>
      <c r="S280" s="1070">
        <v>5</v>
      </c>
      <c r="T280" s="1071" t="s">
        <v>410</v>
      </c>
      <c r="U280" s="1090">
        <f>'사. 임직원보수 일람표'!J101</f>
        <v>200000</v>
      </c>
    </row>
    <row r="281" spans="1:21" ht="21.75" hidden="1" customHeight="1">
      <c r="A281" s="605"/>
      <c r="B281" s="606"/>
      <c r="C281" s="606"/>
      <c r="D281" s="607"/>
      <c r="E281" s="608"/>
      <c r="F281" s="609"/>
      <c r="G281" s="647"/>
      <c r="H281" s="642"/>
      <c r="I281" s="131"/>
      <c r="J281" s="131"/>
      <c r="K281" s="1037"/>
      <c r="L281" s="1088" t="s">
        <v>210</v>
      </c>
      <c r="M281" s="1064"/>
      <c r="N281" s="1064" t="s">
        <v>808</v>
      </c>
      <c r="O281" s="1009">
        <f t="shared" si="11"/>
        <v>40000</v>
      </c>
      <c r="P281" s="1069" t="s">
        <v>744</v>
      </c>
      <c r="Q281" s="1089">
        <v>1</v>
      </c>
      <c r="R281" s="1069" t="s">
        <v>744</v>
      </c>
      <c r="S281" s="1070">
        <v>1</v>
      </c>
      <c r="T281" s="1071" t="s">
        <v>410</v>
      </c>
      <c r="U281" s="1090">
        <f>'사. 임직원보수 일람표'!J103</f>
        <v>40000</v>
      </c>
    </row>
    <row r="282" spans="1:21" ht="21.75" hidden="1" customHeight="1">
      <c r="A282" s="605"/>
      <c r="B282" s="606"/>
      <c r="C282" s="606"/>
      <c r="D282" s="607"/>
      <c r="E282" s="608"/>
      <c r="F282" s="609"/>
      <c r="G282" s="647"/>
      <c r="H282" s="642"/>
      <c r="I282" s="131"/>
      <c r="J282" s="131"/>
      <c r="K282" s="1037"/>
      <c r="L282" s="1088" t="s">
        <v>210</v>
      </c>
      <c r="M282" s="1064"/>
      <c r="N282" s="1064" t="s">
        <v>809</v>
      </c>
      <c r="O282" s="1009">
        <f t="shared" si="11"/>
        <v>60000</v>
      </c>
      <c r="P282" s="1069" t="s">
        <v>744</v>
      </c>
      <c r="Q282" s="1089">
        <v>1</v>
      </c>
      <c r="R282" s="1069" t="s">
        <v>744</v>
      </c>
      <c r="S282" s="1070">
        <v>1</v>
      </c>
      <c r="T282" s="1071" t="s">
        <v>410</v>
      </c>
      <c r="U282" s="1090">
        <f>'사. 임직원보수 일람표'!J105</f>
        <v>60000</v>
      </c>
    </row>
    <row r="283" spans="1:21" ht="21.75" hidden="1" customHeight="1">
      <c r="A283" s="605"/>
      <c r="B283" s="606"/>
      <c r="C283" s="606"/>
      <c r="D283" s="607"/>
      <c r="E283" s="608"/>
      <c r="F283" s="609"/>
      <c r="G283" s="647"/>
      <c r="H283" s="642"/>
      <c r="I283" s="131"/>
      <c r="J283" s="131"/>
      <c r="K283" s="1037"/>
      <c r="L283" s="1088" t="s">
        <v>210</v>
      </c>
      <c r="M283" s="1064"/>
      <c r="N283" s="1064" t="s">
        <v>810</v>
      </c>
      <c r="O283" s="1009">
        <f t="shared" si="11"/>
        <v>60000</v>
      </c>
      <c r="P283" s="1069" t="s">
        <v>744</v>
      </c>
      <c r="Q283" s="1089">
        <v>1</v>
      </c>
      <c r="R283" s="1069" t="s">
        <v>744</v>
      </c>
      <c r="S283" s="1070">
        <v>2</v>
      </c>
      <c r="T283" s="1071" t="s">
        <v>410</v>
      </c>
      <c r="U283" s="1090">
        <f>'사. 임직원보수 일람표'!J107</f>
        <v>120000</v>
      </c>
    </row>
    <row r="284" spans="1:21" ht="21.75" hidden="1" customHeight="1">
      <c r="A284" s="605"/>
      <c r="B284" s="606"/>
      <c r="C284" s="606"/>
      <c r="D284" s="607"/>
      <c r="E284" s="608"/>
      <c r="F284" s="609"/>
      <c r="G284" s="647"/>
      <c r="H284" s="642"/>
      <c r="I284" s="131"/>
      <c r="J284" s="131"/>
      <c r="K284" s="1037"/>
      <c r="L284" s="1088" t="s">
        <v>251</v>
      </c>
      <c r="M284" s="1064"/>
      <c r="N284" s="1064" t="s">
        <v>812</v>
      </c>
      <c r="O284" s="1009">
        <f t="shared" si="11"/>
        <v>40000</v>
      </c>
      <c r="P284" s="1069" t="s">
        <v>744</v>
      </c>
      <c r="Q284" s="1089">
        <v>1</v>
      </c>
      <c r="R284" s="1069" t="s">
        <v>744</v>
      </c>
      <c r="S284" s="1070">
        <v>12</v>
      </c>
      <c r="T284" s="1071" t="s">
        <v>410</v>
      </c>
      <c r="U284" s="1090">
        <f>'사. 임직원보수 일람표'!J111</f>
        <v>480000</v>
      </c>
    </row>
    <row r="285" spans="1:21" ht="21.75" hidden="1" customHeight="1">
      <c r="A285" s="605"/>
      <c r="B285" s="606"/>
      <c r="C285" s="606"/>
      <c r="D285" s="607"/>
      <c r="E285" s="608"/>
      <c r="F285" s="609"/>
      <c r="G285" s="647"/>
      <c r="H285" s="642"/>
      <c r="I285" s="131"/>
      <c r="J285" s="131"/>
      <c r="K285" s="1037"/>
      <c r="L285" s="1088" t="s">
        <v>252</v>
      </c>
      <c r="M285" s="1064"/>
      <c r="N285" s="1064" t="s">
        <v>813</v>
      </c>
      <c r="O285" s="1009">
        <f t="shared" si="11"/>
        <v>20000</v>
      </c>
      <c r="P285" s="1069" t="s">
        <v>744</v>
      </c>
      <c r="Q285" s="1089">
        <v>1</v>
      </c>
      <c r="R285" s="1069" t="s">
        <v>744</v>
      </c>
      <c r="S285" s="1070">
        <v>12</v>
      </c>
      <c r="T285" s="1071" t="s">
        <v>410</v>
      </c>
      <c r="U285" s="1090">
        <f>'사. 임직원보수 일람표'!J113</f>
        <v>240000</v>
      </c>
    </row>
    <row r="286" spans="1:21" ht="21.75" hidden="1" customHeight="1">
      <c r="A286" s="605"/>
      <c r="B286" s="606"/>
      <c r="C286" s="606"/>
      <c r="D286" s="607"/>
      <c r="E286" s="608"/>
      <c r="F286" s="609"/>
      <c r="G286" s="647"/>
      <c r="H286" s="642"/>
      <c r="I286" s="131"/>
      <c r="J286" s="131"/>
      <c r="K286" s="1037"/>
      <c r="L286" s="1088" t="s">
        <v>252</v>
      </c>
      <c r="M286" s="1064"/>
      <c r="N286" s="1064" t="s">
        <v>814</v>
      </c>
      <c r="O286" s="1009">
        <f t="shared" si="11"/>
        <v>100000</v>
      </c>
      <c r="P286" s="1069" t="s">
        <v>744</v>
      </c>
      <c r="Q286" s="1089">
        <v>1</v>
      </c>
      <c r="R286" s="1069" t="s">
        <v>744</v>
      </c>
      <c r="S286" s="1070">
        <v>12</v>
      </c>
      <c r="T286" s="1071" t="s">
        <v>410</v>
      </c>
      <c r="U286" s="1090">
        <f>'사. 임직원보수 일람표'!J115</f>
        <v>1200000</v>
      </c>
    </row>
    <row r="287" spans="1:21" ht="21.75" hidden="1" customHeight="1">
      <c r="A287" s="605"/>
      <c r="B287" s="606"/>
      <c r="C287" s="606"/>
      <c r="D287" s="607"/>
      <c r="E287" s="608"/>
      <c r="F287" s="609"/>
      <c r="G287" s="647"/>
      <c r="H287" s="642"/>
      <c r="I287" s="131"/>
      <c r="J287" s="131"/>
      <c r="K287" s="1037"/>
      <c r="L287" s="1088" t="s">
        <v>252</v>
      </c>
      <c r="M287" s="1064"/>
      <c r="N287" s="1064" t="s">
        <v>815</v>
      </c>
      <c r="O287" s="1009">
        <f t="shared" si="11"/>
        <v>40000</v>
      </c>
      <c r="P287" s="1069" t="s">
        <v>744</v>
      </c>
      <c r="Q287" s="1089">
        <v>1</v>
      </c>
      <c r="R287" s="1069" t="s">
        <v>744</v>
      </c>
      <c r="S287" s="1070">
        <v>6</v>
      </c>
      <c r="T287" s="1071" t="s">
        <v>410</v>
      </c>
      <c r="U287" s="1090">
        <f>'사. 임직원보수 일람표'!J117</f>
        <v>240000</v>
      </c>
    </row>
    <row r="288" spans="1:21" ht="21.75" hidden="1" customHeight="1">
      <c r="A288" s="605"/>
      <c r="B288" s="606"/>
      <c r="C288" s="606"/>
      <c r="D288" s="607"/>
      <c r="E288" s="608"/>
      <c r="F288" s="609"/>
      <c r="G288" s="647"/>
      <c r="H288" s="642"/>
      <c r="I288" s="131"/>
      <c r="J288" s="131"/>
      <c r="K288" s="1037"/>
      <c r="L288" s="1088" t="s">
        <v>252</v>
      </c>
      <c r="M288" s="1064"/>
      <c r="N288" s="1064" t="s">
        <v>816</v>
      </c>
      <c r="O288" s="1009">
        <f t="shared" si="11"/>
        <v>40000</v>
      </c>
      <c r="P288" s="1069" t="s">
        <v>744</v>
      </c>
      <c r="Q288" s="1089">
        <v>1</v>
      </c>
      <c r="R288" s="1069" t="s">
        <v>744</v>
      </c>
      <c r="S288" s="1070">
        <v>6</v>
      </c>
      <c r="T288" s="1071" t="s">
        <v>410</v>
      </c>
      <c r="U288" s="1090">
        <f>'사. 임직원보수 일람표'!J119</f>
        <v>240000</v>
      </c>
    </row>
    <row r="289" spans="1:33" ht="21.75" hidden="1" customHeight="1">
      <c r="A289" s="605"/>
      <c r="B289" s="606"/>
      <c r="C289" s="606"/>
      <c r="D289" s="607"/>
      <c r="E289" s="608"/>
      <c r="F289" s="609"/>
      <c r="G289" s="647"/>
      <c r="H289" s="642"/>
      <c r="I289" s="131"/>
      <c r="J289" s="131"/>
      <c r="K289" s="1037"/>
      <c r="L289" s="1088" t="s">
        <v>252</v>
      </c>
      <c r="M289" s="1075" t="s">
        <v>894</v>
      </c>
      <c r="N289" s="1064" t="s">
        <v>820</v>
      </c>
      <c r="O289" s="1009">
        <f t="shared" si="11"/>
        <v>40000</v>
      </c>
      <c r="P289" s="1069" t="s">
        <v>744</v>
      </c>
      <c r="Q289" s="1089">
        <v>1</v>
      </c>
      <c r="R289" s="1069" t="s">
        <v>744</v>
      </c>
      <c r="S289" s="1070">
        <v>12</v>
      </c>
      <c r="T289" s="1071" t="s">
        <v>410</v>
      </c>
      <c r="U289" s="1090">
        <f>'사. 임직원보수 일람표'!J132</f>
        <v>480000</v>
      </c>
    </row>
    <row r="290" spans="1:33" ht="21.75" hidden="1" customHeight="1">
      <c r="A290" s="605"/>
      <c r="B290" s="606"/>
      <c r="C290" s="606"/>
      <c r="D290" s="607"/>
      <c r="E290" s="608"/>
      <c r="F290" s="609"/>
      <c r="G290" s="647"/>
      <c r="H290" s="642"/>
      <c r="I290" s="131"/>
      <c r="J290" s="131"/>
      <c r="K290" s="1037"/>
      <c r="L290" s="1088" t="s">
        <v>818</v>
      </c>
      <c r="M290" s="1075" t="s">
        <v>894</v>
      </c>
      <c r="N290" s="1064" t="s">
        <v>821</v>
      </c>
      <c r="O290" s="1009">
        <f t="shared" si="11"/>
        <v>60000</v>
      </c>
      <c r="P290" s="1069" t="s">
        <v>744</v>
      </c>
      <c r="Q290" s="1089">
        <v>1</v>
      </c>
      <c r="R290" s="1069" t="s">
        <v>744</v>
      </c>
      <c r="S290" s="1070">
        <v>12</v>
      </c>
      <c r="T290" s="1071" t="s">
        <v>410</v>
      </c>
      <c r="U290" s="1090">
        <f>'사. 임직원보수 일람표'!J134</f>
        <v>720000</v>
      </c>
    </row>
    <row r="291" spans="1:33" ht="21.75" hidden="1" customHeight="1">
      <c r="A291" s="605"/>
      <c r="B291" s="606"/>
      <c r="C291" s="606"/>
      <c r="D291" s="607"/>
      <c r="E291" s="608"/>
      <c r="F291" s="609"/>
      <c r="G291" s="647"/>
      <c r="H291" s="642"/>
      <c r="I291" s="131"/>
      <c r="J291" s="131"/>
      <c r="K291" s="1037"/>
      <c r="L291" s="1088" t="s">
        <v>210</v>
      </c>
      <c r="M291" s="1075" t="s">
        <v>899</v>
      </c>
      <c r="N291" s="1064" t="s">
        <v>825</v>
      </c>
      <c r="O291" s="1009">
        <f t="shared" si="11"/>
        <v>20000</v>
      </c>
      <c r="P291" s="1069" t="s">
        <v>744</v>
      </c>
      <c r="Q291" s="1089">
        <v>1</v>
      </c>
      <c r="R291" s="1069" t="s">
        <v>744</v>
      </c>
      <c r="S291" s="1070">
        <v>12</v>
      </c>
      <c r="T291" s="1071" t="s">
        <v>410</v>
      </c>
      <c r="U291" s="1090">
        <f>'사. 임직원보수 일람표'!J153</f>
        <v>240000</v>
      </c>
    </row>
    <row r="292" spans="1:33" ht="21.75" hidden="1" customHeight="1">
      <c r="A292" s="605"/>
      <c r="B292" s="606"/>
      <c r="C292" s="606"/>
      <c r="D292" s="607"/>
      <c r="E292" s="608"/>
      <c r="F292" s="609"/>
      <c r="G292" s="647"/>
      <c r="H292" s="642"/>
      <c r="I292" s="131"/>
      <c r="J292" s="131"/>
      <c r="K292" s="1037"/>
      <c r="L292" s="1088" t="s">
        <v>210</v>
      </c>
      <c r="M292" s="1075" t="s">
        <v>899</v>
      </c>
      <c r="N292" s="1064" t="s">
        <v>827</v>
      </c>
      <c r="O292" s="1009">
        <f t="shared" si="11"/>
        <v>20000</v>
      </c>
      <c r="P292" s="1069" t="s">
        <v>744</v>
      </c>
      <c r="Q292" s="1089">
        <v>1</v>
      </c>
      <c r="R292" s="1069" t="s">
        <v>744</v>
      </c>
      <c r="S292" s="1070">
        <v>11</v>
      </c>
      <c r="T292" s="1071" t="s">
        <v>410</v>
      </c>
      <c r="U292" s="1090">
        <f>'사. 임직원보수 일람표'!J157</f>
        <v>220000</v>
      </c>
    </row>
    <row r="293" spans="1:33" ht="21.75" hidden="1" customHeight="1">
      <c r="A293" s="605"/>
      <c r="B293" s="606"/>
      <c r="C293" s="606"/>
      <c r="D293" s="607"/>
      <c r="E293" s="608"/>
      <c r="F293" s="609"/>
      <c r="G293" s="647"/>
      <c r="H293" s="642"/>
      <c r="I293" s="131"/>
      <c r="J293" s="131"/>
      <c r="K293" s="1037"/>
      <c r="L293" s="1088" t="s">
        <v>210</v>
      </c>
      <c r="M293" s="1075" t="s">
        <v>899</v>
      </c>
      <c r="N293" s="1064" t="s">
        <v>828</v>
      </c>
      <c r="O293" s="1009">
        <f t="shared" si="11"/>
        <v>40000</v>
      </c>
      <c r="P293" s="1069" t="s">
        <v>744</v>
      </c>
      <c r="Q293" s="1089">
        <v>1</v>
      </c>
      <c r="R293" s="1069" t="s">
        <v>744</v>
      </c>
      <c r="S293" s="1070">
        <v>9</v>
      </c>
      <c r="T293" s="1071" t="s">
        <v>410</v>
      </c>
      <c r="U293" s="1090">
        <f>'사. 임직원보수 일람표'!J159</f>
        <v>360000</v>
      </c>
    </row>
    <row r="294" spans="1:33" ht="21.75" hidden="1" customHeight="1">
      <c r="A294" s="605"/>
      <c r="B294" s="606"/>
      <c r="C294" s="606"/>
      <c r="D294" s="607"/>
      <c r="E294" s="608"/>
      <c r="F294" s="609"/>
      <c r="G294" s="647"/>
      <c r="H294" s="642"/>
      <c r="I294" s="131"/>
      <c r="J294" s="131"/>
      <c r="K294" s="1037"/>
      <c r="L294" s="1088" t="s">
        <v>210</v>
      </c>
      <c r="M294" s="1075" t="s">
        <v>899</v>
      </c>
      <c r="N294" s="1064" t="s">
        <v>830</v>
      </c>
      <c r="O294" s="1009">
        <f t="shared" si="11"/>
        <v>40000</v>
      </c>
      <c r="P294" s="1069" t="s">
        <v>744</v>
      </c>
      <c r="Q294" s="1089">
        <v>1</v>
      </c>
      <c r="R294" s="1069" t="s">
        <v>744</v>
      </c>
      <c r="S294" s="1070">
        <v>5</v>
      </c>
      <c r="T294" s="1071" t="s">
        <v>410</v>
      </c>
      <c r="U294" s="1090">
        <f>'사. 임직원보수 일람표'!J163</f>
        <v>200000</v>
      </c>
    </row>
    <row r="295" spans="1:33" ht="21.75" hidden="1" customHeight="1">
      <c r="A295" s="605"/>
      <c r="B295" s="606"/>
      <c r="C295" s="606"/>
      <c r="D295" s="607"/>
      <c r="E295" s="608"/>
      <c r="F295" s="609"/>
      <c r="G295" s="647"/>
      <c r="H295" s="642"/>
      <c r="I295" s="131"/>
      <c r="J295" s="131"/>
      <c r="K295" s="1037"/>
      <c r="L295" s="1088" t="s">
        <v>210</v>
      </c>
      <c r="M295" s="1075" t="s">
        <v>899</v>
      </c>
      <c r="N295" s="1064" t="s">
        <v>831</v>
      </c>
      <c r="O295" s="1009">
        <f t="shared" si="11"/>
        <v>40000</v>
      </c>
      <c r="P295" s="1069" t="s">
        <v>744</v>
      </c>
      <c r="Q295" s="1089">
        <v>1</v>
      </c>
      <c r="R295" s="1069" t="s">
        <v>744</v>
      </c>
      <c r="S295" s="1070">
        <v>3</v>
      </c>
      <c r="T295" s="1071" t="s">
        <v>410</v>
      </c>
      <c r="U295" s="1090">
        <f>'사. 임직원보수 일람표'!J165</f>
        <v>120000</v>
      </c>
    </row>
    <row r="296" spans="1:33" ht="21.75" hidden="1" customHeight="1">
      <c r="A296" s="605"/>
      <c r="B296" s="606"/>
      <c r="C296" s="606"/>
      <c r="D296" s="607"/>
      <c r="E296" s="608"/>
      <c r="F296" s="609"/>
      <c r="G296" s="647"/>
      <c r="H296" s="642"/>
      <c r="I296" s="131"/>
      <c r="J296" s="131"/>
      <c r="K296" s="1037"/>
      <c r="L296" s="1088" t="s">
        <v>210</v>
      </c>
      <c r="M296" s="1075" t="s">
        <v>899</v>
      </c>
      <c r="N296" s="1064" t="s">
        <v>832</v>
      </c>
      <c r="O296" s="1009">
        <f t="shared" si="11"/>
        <v>40000</v>
      </c>
      <c r="P296" s="1069" t="s">
        <v>744</v>
      </c>
      <c r="Q296" s="1089">
        <v>1</v>
      </c>
      <c r="R296" s="1069" t="s">
        <v>744</v>
      </c>
      <c r="S296" s="1070">
        <v>6</v>
      </c>
      <c r="T296" s="1071" t="s">
        <v>410</v>
      </c>
      <c r="U296" s="1090">
        <f>'사. 임직원보수 일람표'!J167</f>
        <v>240000</v>
      </c>
    </row>
    <row r="297" spans="1:33" ht="21.75" customHeight="1">
      <c r="A297" s="605"/>
      <c r="B297" s="606"/>
      <c r="C297" s="606"/>
      <c r="D297" s="607"/>
      <c r="E297" s="608"/>
      <c r="F297" s="609"/>
      <c r="G297" s="647"/>
      <c r="H297" s="642"/>
      <c r="I297" s="131"/>
      <c r="J297" s="131"/>
      <c r="K297" s="1037"/>
      <c r="L297" s="1350" t="s">
        <v>837</v>
      </c>
      <c r="M297" s="1351"/>
      <c r="N297" s="1353" t="s">
        <v>883</v>
      </c>
      <c r="O297" s="1353"/>
      <c r="P297" s="1353"/>
      <c r="Q297" s="1353"/>
      <c r="R297" s="1353"/>
      <c r="S297" s="1353"/>
      <c r="T297" s="1353"/>
      <c r="U297" s="1155">
        <f>SUM(U298:U418)</f>
        <v>361436600</v>
      </c>
      <c r="V297" s="582">
        <f>'사. 임직원보수 일람표'!L202</f>
        <v>361436600</v>
      </c>
      <c r="Z297" s="1011" t="e">
        <f>'사. 임직원보수 일람표'!#REF!</f>
        <v>#REF!</v>
      </c>
    </row>
    <row r="298" spans="1:33" ht="21.75" hidden="1" customHeight="1">
      <c r="A298" s="605"/>
      <c r="B298" s="606"/>
      <c r="C298" s="606"/>
      <c r="D298" s="607"/>
      <c r="E298" s="608"/>
      <c r="F298" s="609"/>
      <c r="G298" s="647"/>
      <c r="H298" s="642"/>
      <c r="I298" s="131"/>
      <c r="J298" s="131"/>
      <c r="K298" s="1037"/>
      <c r="L298" s="1088" t="s">
        <v>161</v>
      </c>
      <c r="M298" s="1064" t="s">
        <v>161</v>
      </c>
      <c r="N298" s="1064" t="s">
        <v>162</v>
      </c>
      <c r="O298" s="1074">
        <f>'사. 임직원보수 일람표'!K5</f>
        <v>26560</v>
      </c>
      <c r="P298" s="1069" t="s">
        <v>838</v>
      </c>
      <c r="Q298" s="1072">
        <v>20</v>
      </c>
      <c r="R298" s="1069" t="s">
        <v>744</v>
      </c>
      <c r="S298" s="1070">
        <v>5</v>
      </c>
      <c r="T298" s="1071" t="s">
        <v>410</v>
      </c>
      <c r="U298" s="1073">
        <f t="shared" ref="U298:U329" si="12">O298*Q298*S298</f>
        <v>2656000</v>
      </c>
      <c r="AF298" s="1011">
        <f>'사. 임직원보수 일람표'!L5</f>
        <v>2656000</v>
      </c>
      <c r="AG298" s="1011">
        <f t="shared" ref="AG298:AG329" si="13">U298-AF298</f>
        <v>0</v>
      </c>
    </row>
    <row r="299" spans="1:33" ht="21.75" hidden="1" customHeight="1">
      <c r="A299" s="605"/>
      <c r="B299" s="606"/>
      <c r="C299" s="606"/>
      <c r="D299" s="607"/>
      <c r="E299" s="608"/>
      <c r="F299" s="609"/>
      <c r="G299" s="647"/>
      <c r="H299" s="642"/>
      <c r="I299" s="131"/>
      <c r="J299" s="131"/>
      <c r="K299" s="1037"/>
      <c r="L299" s="1088" t="s">
        <v>161</v>
      </c>
      <c r="M299" s="1064" t="s">
        <v>161</v>
      </c>
      <c r="N299" s="1064" t="s">
        <v>162</v>
      </c>
      <c r="O299" s="1074">
        <f>'사. 임직원보수 일람표'!K6</f>
        <v>27170</v>
      </c>
      <c r="P299" s="1069" t="s">
        <v>744</v>
      </c>
      <c r="Q299" s="1072">
        <v>20</v>
      </c>
      <c r="R299" s="1069" t="s">
        <v>744</v>
      </c>
      <c r="S299" s="1070">
        <v>7</v>
      </c>
      <c r="T299" s="1071" t="s">
        <v>410</v>
      </c>
      <c r="U299" s="1090">
        <f t="shared" si="12"/>
        <v>3803800</v>
      </c>
      <c r="AF299" s="1011">
        <f>'사. 임직원보수 일람표'!L6</f>
        <v>3803800</v>
      </c>
      <c r="AG299" s="1011">
        <f t="shared" si="13"/>
        <v>0</v>
      </c>
    </row>
    <row r="300" spans="1:33" ht="21.75" hidden="1" customHeight="1">
      <c r="A300" s="605"/>
      <c r="B300" s="606"/>
      <c r="C300" s="606"/>
      <c r="D300" s="607"/>
      <c r="E300" s="608"/>
      <c r="F300" s="609"/>
      <c r="G300" s="647"/>
      <c r="H300" s="642"/>
      <c r="I300" s="131"/>
      <c r="J300" s="131"/>
      <c r="K300" s="1037"/>
      <c r="L300" s="1088" t="s">
        <v>174</v>
      </c>
      <c r="M300" s="1064" t="s">
        <v>174</v>
      </c>
      <c r="N300" s="1064" t="s">
        <v>175</v>
      </c>
      <c r="O300" s="1074">
        <f>'사. 임직원보수 일람표'!K7</f>
        <v>27010</v>
      </c>
      <c r="P300" s="1069" t="s">
        <v>744</v>
      </c>
      <c r="Q300" s="1072">
        <v>20</v>
      </c>
      <c r="R300" s="1069" t="s">
        <v>744</v>
      </c>
      <c r="S300" s="1070">
        <v>4</v>
      </c>
      <c r="T300" s="1071" t="s">
        <v>410</v>
      </c>
      <c r="U300" s="1090">
        <f t="shared" si="12"/>
        <v>2160800</v>
      </c>
      <c r="AF300" s="1011">
        <f>'사. 임직원보수 일람표'!L7</f>
        <v>2160800</v>
      </c>
      <c r="AG300" s="1011">
        <f t="shared" si="13"/>
        <v>0</v>
      </c>
    </row>
    <row r="301" spans="1:33" ht="21.75" hidden="1" customHeight="1">
      <c r="A301" s="605"/>
      <c r="B301" s="606"/>
      <c r="C301" s="606"/>
      <c r="D301" s="607"/>
      <c r="E301" s="608"/>
      <c r="F301" s="609"/>
      <c r="G301" s="647"/>
      <c r="H301" s="642"/>
      <c r="I301" s="131"/>
      <c r="J301" s="131"/>
      <c r="K301" s="1037"/>
      <c r="L301" s="1088" t="s">
        <v>174</v>
      </c>
      <c r="M301" s="1064" t="s">
        <v>174</v>
      </c>
      <c r="N301" s="1064" t="s">
        <v>175</v>
      </c>
      <c r="O301" s="1074">
        <f>'사. 임직원보수 일람표'!K8</f>
        <v>27450</v>
      </c>
      <c r="P301" s="1069" t="s">
        <v>744</v>
      </c>
      <c r="Q301" s="1072">
        <v>20</v>
      </c>
      <c r="R301" s="1069" t="s">
        <v>744</v>
      </c>
      <c r="S301" s="1070">
        <v>8</v>
      </c>
      <c r="T301" s="1071" t="s">
        <v>410</v>
      </c>
      <c r="U301" s="1090">
        <f t="shared" si="12"/>
        <v>4392000</v>
      </c>
      <c r="AF301" s="1011">
        <f>'사. 임직원보수 일람표'!L8</f>
        <v>4392000</v>
      </c>
      <c r="AG301" s="1011">
        <f t="shared" si="13"/>
        <v>0</v>
      </c>
    </row>
    <row r="302" spans="1:33" ht="21.75" hidden="1" customHeight="1">
      <c r="A302" s="605"/>
      <c r="B302" s="606"/>
      <c r="C302" s="606"/>
      <c r="D302" s="607"/>
      <c r="E302" s="608"/>
      <c r="F302" s="609"/>
      <c r="G302" s="647"/>
      <c r="H302" s="642"/>
      <c r="I302" s="131"/>
      <c r="J302" s="131"/>
      <c r="K302" s="1037"/>
      <c r="L302" s="1088" t="s">
        <v>749</v>
      </c>
      <c r="M302" s="1064" t="s">
        <v>747</v>
      </c>
      <c r="N302" s="1064" t="s">
        <v>182</v>
      </c>
      <c r="O302" s="1074">
        <f>'사. 임직원보수 일람표'!K9</f>
        <v>23280</v>
      </c>
      <c r="P302" s="1069" t="s">
        <v>744</v>
      </c>
      <c r="Q302" s="1072">
        <v>20</v>
      </c>
      <c r="R302" s="1069" t="s">
        <v>744</v>
      </c>
      <c r="S302" s="1070">
        <v>6</v>
      </c>
      <c r="T302" s="1071" t="s">
        <v>410</v>
      </c>
      <c r="U302" s="1090">
        <f t="shared" si="12"/>
        <v>2793600</v>
      </c>
      <c r="AF302" s="1011">
        <f>'사. 임직원보수 일람표'!L9</f>
        <v>2793600</v>
      </c>
      <c r="AG302" s="1011">
        <f t="shared" si="13"/>
        <v>0</v>
      </c>
    </row>
    <row r="303" spans="1:33" ht="21.75" hidden="1" customHeight="1">
      <c r="A303" s="605"/>
      <c r="B303" s="606"/>
      <c r="C303" s="606"/>
      <c r="D303" s="607"/>
      <c r="E303" s="608"/>
      <c r="F303" s="609"/>
      <c r="G303" s="647"/>
      <c r="H303" s="642"/>
      <c r="I303" s="131"/>
      <c r="J303" s="131"/>
      <c r="K303" s="1037"/>
      <c r="L303" s="1088" t="s">
        <v>749</v>
      </c>
      <c r="M303" s="1064" t="s">
        <v>747</v>
      </c>
      <c r="N303" s="1064" t="s">
        <v>182</v>
      </c>
      <c r="O303" s="1074">
        <f>'사. 임직원보수 일람표'!K10</f>
        <v>23730</v>
      </c>
      <c r="P303" s="1069" t="s">
        <v>744</v>
      </c>
      <c r="Q303" s="1072">
        <v>20</v>
      </c>
      <c r="R303" s="1069" t="s">
        <v>744</v>
      </c>
      <c r="S303" s="1070">
        <v>6</v>
      </c>
      <c r="T303" s="1071" t="s">
        <v>410</v>
      </c>
      <c r="U303" s="1090">
        <f t="shared" si="12"/>
        <v>2847600</v>
      </c>
      <c r="AF303" s="1011">
        <f>'사. 임직원보수 일람표'!L10</f>
        <v>2847600</v>
      </c>
      <c r="AG303" s="1011">
        <f t="shared" si="13"/>
        <v>0</v>
      </c>
    </row>
    <row r="304" spans="1:33" ht="21.75" hidden="1" customHeight="1">
      <c r="A304" s="605"/>
      <c r="B304" s="606"/>
      <c r="C304" s="606"/>
      <c r="D304" s="607"/>
      <c r="E304" s="608"/>
      <c r="F304" s="609"/>
      <c r="G304" s="647"/>
      <c r="H304" s="642"/>
      <c r="I304" s="131"/>
      <c r="J304" s="131"/>
      <c r="K304" s="1037"/>
      <c r="L304" s="1088" t="s">
        <v>750</v>
      </c>
      <c r="M304" s="1064" t="s">
        <v>748</v>
      </c>
      <c r="N304" s="1064" t="s">
        <v>188</v>
      </c>
      <c r="O304" s="1074">
        <f>'사. 임직원보수 일람표'!K11</f>
        <v>26400</v>
      </c>
      <c r="P304" s="1069" t="s">
        <v>744</v>
      </c>
      <c r="Q304" s="1072">
        <v>20</v>
      </c>
      <c r="R304" s="1069" t="s">
        <v>744</v>
      </c>
      <c r="S304" s="1070">
        <v>3</v>
      </c>
      <c r="T304" s="1071" t="s">
        <v>410</v>
      </c>
      <c r="U304" s="1090">
        <f t="shared" si="12"/>
        <v>1584000</v>
      </c>
      <c r="AF304" s="1011">
        <f>'사. 임직원보수 일람표'!L11</f>
        <v>1584000</v>
      </c>
      <c r="AG304" s="1011">
        <f t="shared" si="13"/>
        <v>0</v>
      </c>
    </row>
    <row r="305" spans="1:33" ht="21.75" hidden="1" customHeight="1">
      <c r="A305" s="605"/>
      <c r="B305" s="606"/>
      <c r="C305" s="606"/>
      <c r="D305" s="607"/>
      <c r="E305" s="608"/>
      <c r="F305" s="609"/>
      <c r="G305" s="647"/>
      <c r="H305" s="642"/>
      <c r="I305" s="131"/>
      <c r="J305" s="131"/>
      <c r="K305" s="1037"/>
      <c r="L305" s="1088" t="s">
        <v>750</v>
      </c>
      <c r="M305" s="1064" t="s">
        <v>748</v>
      </c>
      <c r="N305" s="1064" t="s">
        <v>188</v>
      </c>
      <c r="O305" s="1074">
        <f>'사. 임직원보수 일람표'!K12</f>
        <v>26730</v>
      </c>
      <c r="P305" s="1069" t="s">
        <v>744</v>
      </c>
      <c r="Q305" s="1072">
        <v>20</v>
      </c>
      <c r="R305" s="1069" t="s">
        <v>744</v>
      </c>
      <c r="S305" s="1070">
        <v>9</v>
      </c>
      <c r="T305" s="1071" t="s">
        <v>410</v>
      </c>
      <c r="U305" s="1090">
        <f t="shared" si="12"/>
        <v>4811400</v>
      </c>
      <c r="AF305" s="1011">
        <f>'사. 임직원보수 일람표'!L12</f>
        <v>4811400</v>
      </c>
      <c r="AG305" s="1011">
        <f t="shared" si="13"/>
        <v>0</v>
      </c>
    </row>
    <row r="306" spans="1:33" ht="21.75" hidden="1" customHeight="1">
      <c r="A306" s="605"/>
      <c r="B306" s="606"/>
      <c r="C306" s="606"/>
      <c r="D306" s="607"/>
      <c r="E306" s="608"/>
      <c r="F306" s="609"/>
      <c r="G306" s="647"/>
      <c r="H306" s="642"/>
      <c r="I306" s="131"/>
      <c r="J306" s="131"/>
      <c r="K306" s="1037"/>
      <c r="L306" s="1088" t="s">
        <v>755</v>
      </c>
      <c r="M306" s="1064" t="s">
        <v>748</v>
      </c>
      <c r="N306" s="1064" t="s">
        <v>203</v>
      </c>
      <c r="O306" s="1074">
        <f>'사. 임직원보수 일람표'!K13</f>
        <v>19610</v>
      </c>
      <c r="P306" s="1069" t="s">
        <v>744</v>
      </c>
      <c r="Q306" s="1072">
        <v>20</v>
      </c>
      <c r="R306" s="1069" t="s">
        <v>744</v>
      </c>
      <c r="S306" s="1070">
        <v>11</v>
      </c>
      <c r="T306" s="1071" t="s">
        <v>410</v>
      </c>
      <c r="U306" s="1090">
        <f t="shared" si="12"/>
        <v>4314200</v>
      </c>
      <c r="AF306" s="1011">
        <f>'사. 임직원보수 일람표'!L13</f>
        <v>4314200</v>
      </c>
      <c r="AG306" s="1011">
        <f t="shared" si="13"/>
        <v>0</v>
      </c>
    </row>
    <row r="307" spans="1:33" ht="21.75" hidden="1" customHeight="1">
      <c r="A307" s="605"/>
      <c r="B307" s="606"/>
      <c r="C307" s="606"/>
      <c r="D307" s="607"/>
      <c r="E307" s="608"/>
      <c r="F307" s="609"/>
      <c r="G307" s="647"/>
      <c r="H307" s="642"/>
      <c r="I307" s="131"/>
      <c r="J307" s="131"/>
      <c r="K307" s="1037"/>
      <c r="L307" s="1088" t="s">
        <v>755</v>
      </c>
      <c r="M307" s="1064" t="s">
        <v>748</v>
      </c>
      <c r="N307" s="1064" t="s">
        <v>203</v>
      </c>
      <c r="O307" s="1074">
        <f>'사. 임직원보수 일람표'!K14</f>
        <v>20120</v>
      </c>
      <c r="P307" s="1069" t="s">
        <v>744</v>
      </c>
      <c r="Q307" s="1072">
        <v>20</v>
      </c>
      <c r="R307" s="1069" t="s">
        <v>744</v>
      </c>
      <c r="S307" s="1070">
        <v>1</v>
      </c>
      <c r="T307" s="1071" t="s">
        <v>410</v>
      </c>
      <c r="U307" s="1090">
        <f t="shared" si="12"/>
        <v>402400</v>
      </c>
      <c r="AF307" s="1011">
        <f>'사. 임직원보수 일람표'!L14</f>
        <v>402400</v>
      </c>
      <c r="AG307" s="1011">
        <f t="shared" si="13"/>
        <v>0</v>
      </c>
    </row>
    <row r="308" spans="1:33" ht="21.75" hidden="1" customHeight="1">
      <c r="A308" s="605"/>
      <c r="B308" s="606"/>
      <c r="C308" s="606"/>
      <c r="D308" s="607"/>
      <c r="E308" s="608"/>
      <c r="F308" s="609"/>
      <c r="G308" s="647"/>
      <c r="H308" s="642"/>
      <c r="I308" s="131"/>
      <c r="J308" s="131"/>
      <c r="K308" s="1037"/>
      <c r="L308" s="1088" t="s">
        <v>193</v>
      </c>
      <c r="M308" s="1064" t="s">
        <v>748</v>
      </c>
      <c r="N308" s="1064" t="s">
        <v>192</v>
      </c>
      <c r="O308" s="1074">
        <f>'사. 임직원보수 일람표'!K15</f>
        <v>26400</v>
      </c>
      <c r="P308" s="1069" t="s">
        <v>744</v>
      </c>
      <c r="Q308" s="1072">
        <v>20</v>
      </c>
      <c r="R308" s="1069" t="s">
        <v>744</v>
      </c>
      <c r="S308" s="1070">
        <v>7</v>
      </c>
      <c r="T308" s="1071" t="s">
        <v>410</v>
      </c>
      <c r="U308" s="1090">
        <f t="shared" si="12"/>
        <v>3696000</v>
      </c>
      <c r="AF308" s="1011">
        <f>'사. 임직원보수 일람표'!L15</f>
        <v>3696000</v>
      </c>
      <c r="AG308" s="1011">
        <f t="shared" si="13"/>
        <v>0</v>
      </c>
    </row>
    <row r="309" spans="1:33" ht="21.75" hidden="1" customHeight="1">
      <c r="A309" s="605"/>
      <c r="B309" s="606"/>
      <c r="C309" s="606"/>
      <c r="D309" s="607"/>
      <c r="E309" s="608"/>
      <c r="F309" s="609"/>
      <c r="G309" s="647"/>
      <c r="H309" s="642"/>
      <c r="I309" s="131"/>
      <c r="J309" s="131"/>
      <c r="K309" s="1037"/>
      <c r="L309" s="1088" t="s">
        <v>193</v>
      </c>
      <c r="M309" s="1064"/>
      <c r="N309" s="1064" t="s">
        <v>263</v>
      </c>
      <c r="O309" s="1074">
        <f>'사. 임직원보수 일람표'!K17</f>
        <v>16920</v>
      </c>
      <c r="P309" s="1069" t="s">
        <v>744</v>
      </c>
      <c r="Q309" s="1072">
        <v>20</v>
      </c>
      <c r="R309" s="1069" t="s">
        <v>744</v>
      </c>
      <c r="S309" s="1070">
        <v>3</v>
      </c>
      <c r="T309" s="1071" t="s">
        <v>410</v>
      </c>
      <c r="U309" s="1090">
        <f t="shared" si="12"/>
        <v>1015200</v>
      </c>
      <c r="AF309" s="1011">
        <f>'사. 임직원보수 일람표'!L17</f>
        <v>1015200</v>
      </c>
      <c r="AG309" s="1011">
        <f t="shared" si="13"/>
        <v>0</v>
      </c>
    </row>
    <row r="310" spans="1:33" ht="21.75" hidden="1" customHeight="1">
      <c r="A310" s="605"/>
      <c r="B310" s="606"/>
      <c r="C310" s="606"/>
      <c r="D310" s="607"/>
      <c r="E310" s="608"/>
      <c r="F310" s="609"/>
      <c r="G310" s="647"/>
      <c r="H310" s="642"/>
      <c r="I310" s="131"/>
      <c r="J310" s="131"/>
      <c r="K310" s="1037"/>
      <c r="L310" s="1088" t="s">
        <v>193</v>
      </c>
      <c r="M310" s="1064"/>
      <c r="N310" s="1064" t="s">
        <v>263</v>
      </c>
      <c r="O310" s="1074">
        <f>'사. 임직원보수 일람표'!K18</f>
        <v>17680</v>
      </c>
      <c r="P310" s="1069" t="s">
        <v>744</v>
      </c>
      <c r="Q310" s="1072">
        <v>20</v>
      </c>
      <c r="R310" s="1069" t="s">
        <v>744</v>
      </c>
      <c r="S310" s="1070">
        <v>1</v>
      </c>
      <c r="T310" s="1071" t="s">
        <v>410</v>
      </c>
      <c r="U310" s="1090">
        <f t="shared" si="12"/>
        <v>353600</v>
      </c>
      <c r="AF310" s="1011">
        <f>'사. 임직원보수 일람표'!L18</f>
        <v>353600</v>
      </c>
      <c r="AG310" s="1011">
        <f t="shared" si="13"/>
        <v>0</v>
      </c>
    </row>
    <row r="311" spans="1:33" ht="21.75" hidden="1" customHeight="1">
      <c r="A311" s="605"/>
      <c r="B311" s="606"/>
      <c r="C311" s="606"/>
      <c r="D311" s="607"/>
      <c r="E311" s="608"/>
      <c r="F311" s="609"/>
      <c r="G311" s="647"/>
      <c r="H311" s="642"/>
      <c r="I311" s="131"/>
      <c r="J311" s="131"/>
      <c r="K311" s="1037"/>
      <c r="L311" s="1088" t="s">
        <v>194</v>
      </c>
      <c r="M311" s="1064"/>
      <c r="N311" s="1064" t="s">
        <v>195</v>
      </c>
      <c r="O311" s="1074">
        <f>'사. 임직원보수 일람표'!K19</f>
        <v>20670</v>
      </c>
      <c r="P311" s="1069" t="s">
        <v>744</v>
      </c>
      <c r="Q311" s="1072">
        <v>20</v>
      </c>
      <c r="R311" s="1069" t="s">
        <v>744</v>
      </c>
      <c r="S311" s="1070">
        <v>3</v>
      </c>
      <c r="T311" s="1071" t="s">
        <v>410</v>
      </c>
      <c r="U311" s="1090">
        <f t="shared" si="12"/>
        <v>1240200</v>
      </c>
      <c r="AF311" s="1011">
        <f>'사. 임직원보수 일람표'!L19</f>
        <v>1240200</v>
      </c>
      <c r="AG311" s="1011">
        <f t="shared" si="13"/>
        <v>0</v>
      </c>
    </row>
    <row r="312" spans="1:33" ht="21.75" hidden="1" customHeight="1">
      <c r="A312" s="605"/>
      <c r="B312" s="606"/>
      <c r="C312" s="606"/>
      <c r="D312" s="607"/>
      <c r="E312" s="608"/>
      <c r="F312" s="609"/>
      <c r="G312" s="647"/>
      <c r="H312" s="642"/>
      <c r="I312" s="131"/>
      <c r="J312" s="131"/>
      <c r="K312" s="1037"/>
      <c r="L312" s="1088" t="s">
        <v>194</v>
      </c>
      <c r="M312" s="1064"/>
      <c r="N312" s="1064" t="s">
        <v>195</v>
      </c>
      <c r="O312" s="1074">
        <f>'사. 임직원보수 일람표'!K20</f>
        <v>21260</v>
      </c>
      <c r="P312" s="1069" t="s">
        <v>744</v>
      </c>
      <c r="Q312" s="1072">
        <v>20</v>
      </c>
      <c r="R312" s="1069" t="s">
        <v>744</v>
      </c>
      <c r="S312" s="1070">
        <v>9</v>
      </c>
      <c r="T312" s="1071" t="s">
        <v>410</v>
      </c>
      <c r="U312" s="1090">
        <f t="shared" si="12"/>
        <v>3826800</v>
      </c>
      <c r="AF312" s="1011">
        <f>'사. 임직원보수 일람표'!L20</f>
        <v>3826800</v>
      </c>
      <c r="AG312" s="1011">
        <f t="shared" si="13"/>
        <v>0</v>
      </c>
    </row>
    <row r="313" spans="1:33" ht="21.75" hidden="1" customHeight="1">
      <c r="A313" s="605"/>
      <c r="B313" s="606"/>
      <c r="C313" s="606"/>
      <c r="D313" s="607"/>
      <c r="E313" s="608"/>
      <c r="F313" s="609"/>
      <c r="G313" s="647"/>
      <c r="H313" s="642"/>
      <c r="I313" s="131"/>
      <c r="J313" s="131"/>
      <c r="K313" s="1037"/>
      <c r="L313" s="1088" t="s">
        <v>198</v>
      </c>
      <c r="M313" s="1064"/>
      <c r="N313" s="1064" t="s">
        <v>261</v>
      </c>
      <c r="O313" s="1074">
        <f>'사. 임직원보수 일람표'!K21</f>
        <v>15660</v>
      </c>
      <c r="P313" s="1069" t="s">
        <v>744</v>
      </c>
      <c r="Q313" s="1072">
        <v>20</v>
      </c>
      <c r="R313" s="1069" t="s">
        <v>744</v>
      </c>
      <c r="S313" s="1070">
        <v>2</v>
      </c>
      <c r="T313" s="1071" t="s">
        <v>410</v>
      </c>
      <c r="U313" s="1090">
        <f t="shared" si="12"/>
        <v>626400</v>
      </c>
      <c r="AF313" s="1011">
        <f>'사. 임직원보수 일람표'!L21</f>
        <v>626400</v>
      </c>
      <c r="AG313" s="1011">
        <f t="shared" si="13"/>
        <v>0</v>
      </c>
    </row>
    <row r="314" spans="1:33" ht="21.75" hidden="1" customHeight="1">
      <c r="A314" s="605"/>
      <c r="B314" s="606"/>
      <c r="C314" s="606"/>
      <c r="D314" s="607"/>
      <c r="E314" s="608"/>
      <c r="F314" s="609"/>
      <c r="G314" s="647"/>
      <c r="H314" s="642"/>
      <c r="I314" s="131"/>
      <c r="J314" s="131"/>
      <c r="K314" s="1037"/>
      <c r="L314" s="1088" t="s">
        <v>198</v>
      </c>
      <c r="M314" s="1064"/>
      <c r="N314" s="1064" t="s">
        <v>199</v>
      </c>
      <c r="O314" s="1074">
        <f>'사. 임직원보수 일람표'!K23</f>
        <v>16920</v>
      </c>
      <c r="P314" s="1069" t="s">
        <v>744</v>
      </c>
      <c r="Q314" s="1072">
        <v>20</v>
      </c>
      <c r="R314" s="1069" t="s">
        <v>744</v>
      </c>
      <c r="S314" s="1070">
        <v>9</v>
      </c>
      <c r="T314" s="1071" t="s">
        <v>410</v>
      </c>
      <c r="U314" s="1090">
        <f t="shared" si="12"/>
        <v>3045600</v>
      </c>
      <c r="AF314" s="1011">
        <f>'사. 임직원보수 일람표'!L23</f>
        <v>3045600</v>
      </c>
      <c r="AG314" s="1011">
        <f t="shared" si="13"/>
        <v>0</v>
      </c>
    </row>
    <row r="315" spans="1:33" ht="21.75" hidden="1" customHeight="1">
      <c r="A315" s="605"/>
      <c r="B315" s="606"/>
      <c r="C315" s="606"/>
      <c r="D315" s="607"/>
      <c r="E315" s="608"/>
      <c r="F315" s="609"/>
      <c r="G315" s="647"/>
      <c r="H315" s="642"/>
      <c r="I315" s="131"/>
      <c r="J315" s="131"/>
      <c r="K315" s="1037"/>
      <c r="L315" s="1088" t="s">
        <v>204</v>
      </c>
      <c r="M315" s="1064"/>
      <c r="N315" s="1064" t="s">
        <v>205</v>
      </c>
      <c r="O315" s="1074">
        <f>'사. 임직원보수 일람표'!K25</f>
        <v>21260</v>
      </c>
      <c r="P315" s="1069" t="s">
        <v>744</v>
      </c>
      <c r="Q315" s="1072">
        <v>20</v>
      </c>
      <c r="R315" s="1069" t="s">
        <v>744</v>
      </c>
      <c r="S315" s="1070">
        <v>7</v>
      </c>
      <c r="T315" s="1071" t="s">
        <v>410</v>
      </c>
      <c r="U315" s="1090">
        <f t="shared" si="12"/>
        <v>2976400</v>
      </c>
      <c r="AF315" s="1011">
        <f>'사. 임직원보수 일람표'!L25</f>
        <v>2976400</v>
      </c>
      <c r="AG315" s="1011">
        <f t="shared" si="13"/>
        <v>0</v>
      </c>
    </row>
    <row r="316" spans="1:33" ht="21.75" hidden="1" customHeight="1">
      <c r="A316" s="605"/>
      <c r="B316" s="606"/>
      <c r="C316" s="606"/>
      <c r="D316" s="607"/>
      <c r="E316" s="608"/>
      <c r="F316" s="609"/>
      <c r="G316" s="647"/>
      <c r="H316" s="642"/>
      <c r="I316" s="131"/>
      <c r="J316" s="131"/>
      <c r="K316" s="1037"/>
      <c r="L316" s="1088" t="s">
        <v>204</v>
      </c>
      <c r="M316" s="1064"/>
      <c r="N316" s="1064" t="s">
        <v>205</v>
      </c>
      <c r="O316" s="1074">
        <f>'사. 임직원보수 일람표'!K26</f>
        <v>21800</v>
      </c>
      <c r="P316" s="1069" t="s">
        <v>744</v>
      </c>
      <c r="Q316" s="1072">
        <v>20</v>
      </c>
      <c r="R316" s="1069" t="s">
        <v>744</v>
      </c>
      <c r="S316" s="1070">
        <v>5</v>
      </c>
      <c r="T316" s="1071" t="s">
        <v>410</v>
      </c>
      <c r="U316" s="1090">
        <f t="shared" si="12"/>
        <v>2180000</v>
      </c>
      <c r="AF316" s="1011">
        <f>'사. 임직원보수 일람표'!L26</f>
        <v>2180000</v>
      </c>
      <c r="AG316" s="1011">
        <f t="shared" si="13"/>
        <v>0</v>
      </c>
    </row>
    <row r="317" spans="1:33" ht="21.75" hidden="1" customHeight="1">
      <c r="A317" s="605"/>
      <c r="B317" s="606"/>
      <c r="C317" s="606"/>
      <c r="D317" s="607"/>
      <c r="E317" s="608"/>
      <c r="F317" s="609"/>
      <c r="G317" s="647"/>
      <c r="H317" s="642"/>
      <c r="I317" s="131"/>
      <c r="J317" s="131"/>
      <c r="K317" s="1037"/>
      <c r="L317" s="1088" t="s">
        <v>767</v>
      </c>
      <c r="M317" s="1064" t="s">
        <v>747</v>
      </c>
      <c r="N317" s="1064" t="s">
        <v>186</v>
      </c>
      <c r="O317" s="1074">
        <f>'사. 임직원보수 일람표'!K27</f>
        <v>22820</v>
      </c>
      <c r="P317" s="1069" t="s">
        <v>744</v>
      </c>
      <c r="Q317" s="1072">
        <v>20</v>
      </c>
      <c r="R317" s="1069" t="s">
        <v>744</v>
      </c>
      <c r="S317" s="1070">
        <v>9</v>
      </c>
      <c r="T317" s="1071" t="s">
        <v>410</v>
      </c>
      <c r="U317" s="1090">
        <f t="shared" si="12"/>
        <v>4107600</v>
      </c>
      <c r="AF317" s="1011">
        <f>'사. 임직원보수 일람표'!L27</f>
        <v>4107600</v>
      </c>
      <c r="AG317" s="1011">
        <f t="shared" si="13"/>
        <v>0</v>
      </c>
    </row>
    <row r="318" spans="1:33" ht="21.75" hidden="1" customHeight="1">
      <c r="A318" s="605"/>
      <c r="B318" s="606"/>
      <c r="C318" s="606"/>
      <c r="D318" s="607"/>
      <c r="E318" s="608"/>
      <c r="F318" s="609"/>
      <c r="G318" s="647"/>
      <c r="H318" s="642"/>
      <c r="I318" s="131"/>
      <c r="J318" s="131"/>
      <c r="K318" s="1037"/>
      <c r="L318" s="1088" t="s">
        <v>767</v>
      </c>
      <c r="M318" s="1064" t="s">
        <v>747</v>
      </c>
      <c r="N318" s="1064" t="s">
        <v>186</v>
      </c>
      <c r="O318" s="1074">
        <f>'사. 임직원보수 일람표'!K28</f>
        <v>23280</v>
      </c>
      <c r="P318" s="1069" t="s">
        <v>744</v>
      </c>
      <c r="Q318" s="1072">
        <v>20</v>
      </c>
      <c r="R318" s="1069" t="s">
        <v>744</v>
      </c>
      <c r="S318" s="1070">
        <v>3</v>
      </c>
      <c r="T318" s="1071" t="s">
        <v>410</v>
      </c>
      <c r="U318" s="1090">
        <f t="shared" si="12"/>
        <v>1396800</v>
      </c>
      <c r="AF318" s="1011">
        <f>'사. 임직원보수 일람표'!L28</f>
        <v>1396800</v>
      </c>
      <c r="AG318" s="1011">
        <f t="shared" si="13"/>
        <v>0</v>
      </c>
    </row>
    <row r="319" spans="1:33" ht="21.75" hidden="1" customHeight="1">
      <c r="A319" s="605"/>
      <c r="B319" s="606"/>
      <c r="C319" s="606"/>
      <c r="D319" s="607"/>
      <c r="E319" s="608"/>
      <c r="F319" s="609"/>
      <c r="G319" s="647"/>
      <c r="H319" s="642"/>
      <c r="I319" s="131"/>
      <c r="J319" s="131"/>
      <c r="K319" s="1037"/>
      <c r="L319" s="1088" t="s">
        <v>755</v>
      </c>
      <c r="M319" s="1064" t="s">
        <v>748</v>
      </c>
      <c r="N319" s="1064" t="s">
        <v>207</v>
      </c>
      <c r="O319" s="1074">
        <f>'사. 임직원보수 일람표'!K29</f>
        <v>19090</v>
      </c>
      <c r="P319" s="1069" t="s">
        <v>744</v>
      </c>
      <c r="Q319" s="1072">
        <v>20</v>
      </c>
      <c r="R319" s="1069" t="s">
        <v>744</v>
      </c>
      <c r="S319" s="1070">
        <v>7</v>
      </c>
      <c r="T319" s="1071" t="s">
        <v>410</v>
      </c>
      <c r="U319" s="1090">
        <f t="shared" si="12"/>
        <v>2672600</v>
      </c>
      <c r="AF319" s="1011">
        <f>'사. 임직원보수 일람표'!L29</f>
        <v>2672600</v>
      </c>
      <c r="AG319" s="1011">
        <f t="shared" si="13"/>
        <v>0</v>
      </c>
    </row>
    <row r="320" spans="1:33" ht="21.75" hidden="1" customHeight="1">
      <c r="A320" s="605"/>
      <c r="B320" s="606"/>
      <c r="C320" s="606"/>
      <c r="D320" s="607"/>
      <c r="E320" s="608"/>
      <c r="F320" s="609"/>
      <c r="G320" s="647"/>
      <c r="H320" s="642"/>
      <c r="I320" s="131"/>
      <c r="J320" s="131"/>
      <c r="K320" s="1037"/>
      <c r="L320" s="1088" t="s">
        <v>755</v>
      </c>
      <c r="M320" s="1064" t="s">
        <v>748</v>
      </c>
      <c r="N320" s="1064" t="s">
        <v>207</v>
      </c>
      <c r="O320" s="1074">
        <f>'사. 임직원보수 일람표'!K30</f>
        <v>19610</v>
      </c>
      <c r="P320" s="1069" t="s">
        <v>744</v>
      </c>
      <c r="Q320" s="1072">
        <v>20</v>
      </c>
      <c r="R320" s="1069" t="s">
        <v>744</v>
      </c>
      <c r="S320" s="1070">
        <v>5</v>
      </c>
      <c r="T320" s="1071" t="s">
        <v>410</v>
      </c>
      <c r="U320" s="1090">
        <f t="shared" si="12"/>
        <v>1961000</v>
      </c>
      <c r="AF320" s="1011">
        <f>'사. 임직원보수 일람표'!L30</f>
        <v>1961000</v>
      </c>
      <c r="AG320" s="1011">
        <f t="shared" si="13"/>
        <v>0</v>
      </c>
    </row>
    <row r="321" spans="1:33" ht="21.75" hidden="1" customHeight="1">
      <c r="A321" s="605"/>
      <c r="B321" s="606"/>
      <c r="C321" s="606"/>
      <c r="D321" s="607"/>
      <c r="E321" s="608"/>
      <c r="F321" s="609"/>
      <c r="G321" s="647"/>
      <c r="H321" s="642"/>
      <c r="I321" s="131"/>
      <c r="J321" s="131"/>
      <c r="K321" s="1037"/>
      <c r="L321" s="1088" t="s">
        <v>208</v>
      </c>
      <c r="M321" s="1064"/>
      <c r="N321" s="1064" t="s">
        <v>209</v>
      </c>
      <c r="O321" s="1074">
        <f>'사. 임직원보수 일람표'!K31</f>
        <v>18360</v>
      </c>
      <c r="P321" s="1069" t="s">
        <v>744</v>
      </c>
      <c r="Q321" s="1072">
        <v>20</v>
      </c>
      <c r="R321" s="1069" t="s">
        <v>744</v>
      </c>
      <c r="S321" s="1070">
        <v>3</v>
      </c>
      <c r="T321" s="1071" t="s">
        <v>410</v>
      </c>
      <c r="U321" s="1090">
        <f t="shared" si="12"/>
        <v>1101600</v>
      </c>
      <c r="AF321" s="1011">
        <f>'사. 임직원보수 일람표'!L31</f>
        <v>1101600</v>
      </c>
      <c r="AG321" s="1011">
        <f t="shared" si="13"/>
        <v>0</v>
      </c>
    </row>
    <row r="322" spans="1:33" ht="21.75" hidden="1" customHeight="1">
      <c r="A322" s="605"/>
      <c r="B322" s="606"/>
      <c r="C322" s="606"/>
      <c r="D322" s="607"/>
      <c r="E322" s="608"/>
      <c r="F322" s="609"/>
      <c r="G322" s="647"/>
      <c r="H322" s="642"/>
      <c r="I322" s="131"/>
      <c r="J322" s="131"/>
      <c r="K322" s="1037"/>
      <c r="L322" s="1088" t="s">
        <v>208</v>
      </c>
      <c r="M322" s="1064"/>
      <c r="N322" s="1064" t="s">
        <v>209</v>
      </c>
      <c r="O322" s="1074">
        <f>'사. 임직원보수 일람표'!K32</f>
        <v>18830</v>
      </c>
      <c r="P322" s="1069" t="s">
        <v>744</v>
      </c>
      <c r="Q322" s="1072">
        <v>20</v>
      </c>
      <c r="R322" s="1069" t="s">
        <v>744</v>
      </c>
      <c r="S322" s="1070">
        <v>9</v>
      </c>
      <c r="T322" s="1071" t="s">
        <v>410</v>
      </c>
      <c r="U322" s="1090">
        <f t="shared" si="12"/>
        <v>3389400</v>
      </c>
      <c r="AF322" s="1011">
        <f>'사. 임직원보수 일람표'!L32</f>
        <v>3389400</v>
      </c>
      <c r="AG322" s="1011">
        <f t="shared" si="13"/>
        <v>0</v>
      </c>
    </row>
    <row r="323" spans="1:33" ht="21.75" hidden="1" customHeight="1">
      <c r="A323" s="605"/>
      <c r="B323" s="606"/>
      <c r="C323" s="606"/>
      <c r="D323" s="607"/>
      <c r="E323" s="608"/>
      <c r="F323" s="609"/>
      <c r="G323" s="647"/>
      <c r="H323" s="642"/>
      <c r="I323" s="131"/>
      <c r="J323" s="131"/>
      <c r="K323" s="1037"/>
      <c r="L323" s="1088" t="s">
        <v>210</v>
      </c>
      <c r="M323" s="1064" t="s">
        <v>748</v>
      </c>
      <c r="N323" s="1064" t="s">
        <v>211</v>
      </c>
      <c r="O323" s="1074">
        <f>'사. 임직원보수 일람표'!K33</f>
        <v>17890</v>
      </c>
      <c r="P323" s="1069" t="s">
        <v>744</v>
      </c>
      <c r="Q323" s="1072">
        <v>20</v>
      </c>
      <c r="R323" s="1069" t="s">
        <v>744</v>
      </c>
      <c r="S323" s="1070">
        <v>1</v>
      </c>
      <c r="T323" s="1071" t="s">
        <v>410</v>
      </c>
      <c r="U323" s="1090">
        <f t="shared" si="12"/>
        <v>357800</v>
      </c>
      <c r="AF323" s="1011">
        <f>'사. 임직원보수 일람표'!L33</f>
        <v>357800</v>
      </c>
      <c r="AG323" s="1011">
        <f t="shared" si="13"/>
        <v>0</v>
      </c>
    </row>
    <row r="324" spans="1:33" ht="21.75" hidden="1" customHeight="1">
      <c r="A324" s="605"/>
      <c r="B324" s="606"/>
      <c r="C324" s="606"/>
      <c r="D324" s="607"/>
      <c r="E324" s="608"/>
      <c r="F324" s="609"/>
      <c r="G324" s="647"/>
      <c r="H324" s="642"/>
      <c r="I324" s="131"/>
      <c r="J324" s="131"/>
      <c r="K324" s="1037"/>
      <c r="L324" s="1088" t="s">
        <v>210</v>
      </c>
      <c r="M324" s="1064" t="s">
        <v>748</v>
      </c>
      <c r="N324" s="1064" t="s">
        <v>211</v>
      </c>
      <c r="O324" s="1074">
        <f>'사. 임직원보수 일람표'!K34</f>
        <v>18360</v>
      </c>
      <c r="P324" s="1069" t="s">
        <v>744</v>
      </c>
      <c r="Q324" s="1072">
        <v>20</v>
      </c>
      <c r="R324" s="1069" t="s">
        <v>744</v>
      </c>
      <c r="S324" s="1070">
        <v>11</v>
      </c>
      <c r="T324" s="1071" t="s">
        <v>410</v>
      </c>
      <c r="U324" s="1090">
        <f t="shared" si="12"/>
        <v>4039200</v>
      </c>
      <c r="AF324" s="1011">
        <f>'사. 임직원보수 일람표'!L34</f>
        <v>4039200</v>
      </c>
      <c r="AG324" s="1011">
        <f t="shared" si="13"/>
        <v>0</v>
      </c>
    </row>
    <row r="325" spans="1:33" ht="21.75" hidden="1" customHeight="1">
      <c r="A325" s="605"/>
      <c r="B325" s="606"/>
      <c r="C325" s="606"/>
      <c r="D325" s="607"/>
      <c r="E325" s="608"/>
      <c r="F325" s="609"/>
      <c r="G325" s="647"/>
      <c r="H325" s="642"/>
      <c r="I325" s="131"/>
      <c r="J325" s="131"/>
      <c r="K325" s="1037"/>
      <c r="L325" s="1088" t="s">
        <v>210</v>
      </c>
      <c r="M325" s="1064"/>
      <c r="N325" s="1064" t="s">
        <v>212</v>
      </c>
      <c r="O325" s="1074">
        <f>'사. 임직원보수 일람표'!K35</f>
        <v>19260</v>
      </c>
      <c r="P325" s="1069" t="s">
        <v>744</v>
      </c>
      <c r="Q325" s="1072">
        <v>40</v>
      </c>
      <c r="R325" s="1069" t="s">
        <v>744</v>
      </c>
      <c r="S325" s="1070">
        <v>5</v>
      </c>
      <c r="T325" s="1071" t="s">
        <v>410</v>
      </c>
      <c r="U325" s="1090">
        <f t="shared" si="12"/>
        <v>3852000</v>
      </c>
      <c r="AF325" s="1011">
        <f>'사. 임직원보수 일람표'!L35</f>
        <v>3852000</v>
      </c>
      <c r="AG325" s="1011">
        <f t="shared" si="13"/>
        <v>0</v>
      </c>
    </row>
    <row r="326" spans="1:33" ht="21.75" hidden="1" customHeight="1">
      <c r="A326" s="605"/>
      <c r="B326" s="606"/>
      <c r="C326" s="606"/>
      <c r="D326" s="607"/>
      <c r="E326" s="608"/>
      <c r="F326" s="609"/>
      <c r="G326" s="647"/>
      <c r="H326" s="642"/>
      <c r="I326" s="131"/>
      <c r="J326" s="131"/>
      <c r="K326" s="1037"/>
      <c r="L326" s="1088" t="s">
        <v>210</v>
      </c>
      <c r="M326" s="1064"/>
      <c r="N326" s="1064" t="s">
        <v>212</v>
      </c>
      <c r="O326" s="1074">
        <f>'사. 임직원보수 일람표'!K36</f>
        <v>19680</v>
      </c>
      <c r="P326" s="1069" t="s">
        <v>744</v>
      </c>
      <c r="Q326" s="1072">
        <v>40</v>
      </c>
      <c r="R326" s="1069" t="s">
        <v>744</v>
      </c>
      <c r="S326" s="1070">
        <v>7</v>
      </c>
      <c r="T326" s="1071" t="s">
        <v>410</v>
      </c>
      <c r="U326" s="1090">
        <f t="shared" si="12"/>
        <v>5510400</v>
      </c>
      <c r="AF326" s="1011">
        <f>'사. 임직원보수 일람표'!L36</f>
        <v>5510400</v>
      </c>
      <c r="AG326" s="1011">
        <f t="shared" si="13"/>
        <v>0</v>
      </c>
    </row>
    <row r="327" spans="1:33" ht="21.75" hidden="1" customHeight="1">
      <c r="A327" s="605"/>
      <c r="B327" s="606"/>
      <c r="C327" s="606"/>
      <c r="D327" s="607"/>
      <c r="E327" s="608"/>
      <c r="F327" s="609"/>
      <c r="G327" s="647"/>
      <c r="H327" s="642"/>
      <c r="I327" s="131"/>
      <c r="J327" s="131"/>
      <c r="K327" s="1037"/>
      <c r="L327" s="1088" t="s">
        <v>210</v>
      </c>
      <c r="M327" s="1064"/>
      <c r="N327" s="1064" t="s">
        <v>213</v>
      </c>
      <c r="O327" s="1074">
        <f>'사. 임직원보수 일람표'!K37</f>
        <v>16970</v>
      </c>
      <c r="P327" s="1069" t="s">
        <v>744</v>
      </c>
      <c r="Q327" s="1072">
        <v>20</v>
      </c>
      <c r="R327" s="1069" t="s">
        <v>744</v>
      </c>
      <c r="S327" s="1070">
        <v>4</v>
      </c>
      <c r="T327" s="1071" t="s">
        <v>410</v>
      </c>
      <c r="U327" s="1090">
        <f t="shared" si="12"/>
        <v>1357600</v>
      </c>
      <c r="AF327" s="1011">
        <f>'사. 임직원보수 일람표'!L37</f>
        <v>1357600</v>
      </c>
      <c r="AG327" s="1011">
        <f t="shared" si="13"/>
        <v>0</v>
      </c>
    </row>
    <row r="328" spans="1:33" ht="21.75" hidden="1" customHeight="1">
      <c r="A328" s="605"/>
      <c r="B328" s="606"/>
      <c r="C328" s="606"/>
      <c r="D328" s="607"/>
      <c r="E328" s="608"/>
      <c r="F328" s="609"/>
      <c r="G328" s="647"/>
      <c r="H328" s="642"/>
      <c r="I328" s="131"/>
      <c r="J328" s="131"/>
      <c r="K328" s="1037"/>
      <c r="L328" s="1088" t="s">
        <v>210</v>
      </c>
      <c r="M328" s="1064"/>
      <c r="N328" s="1064" t="s">
        <v>213</v>
      </c>
      <c r="O328" s="1074">
        <f>'사. 임직원보수 일람표'!K38</f>
        <v>17430</v>
      </c>
      <c r="P328" s="1069" t="s">
        <v>744</v>
      </c>
      <c r="Q328" s="1072">
        <v>20</v>
      </c>
      <c r="R328" s="1069" t="s">
        <v>744</v>
      </c>
      <c r="S328" s="1070">
        <v>8</v>
      </c>
      <c r="T328" s="1071" t="s">
        <v>410</v>
      </c>
      <c r="U328" s="1090">
        <f t="shared" si="12"/>
        <v>2788800</v>
      </c>
      <c r="AF328" s="1011">
        <f>'사. 임직원보수 일람표'!L38</f>
        <v>2788800</v>
      </c>
      <c r="AG328" s="1011">
        <f t="shared" si="13"/>
        <v>0</v>
      </c>
    </row>
    <row r="329" spans="1:33" ht="21.75" hidden="1" customHeight="1">
      <c r="A329" s="605"/>
      <c r="B329" s="606"/>
      <c r="C329" s="606"/>
      <c r="D329" s="607"/>
      <c r="E329" s="608"/>
      <c r="F329" s="609"/>
      <c r="G329" s="647"/>
      <c r="H329" s="642"/>
      <c r="I329" s="131"/>
      <c r="J329" s="131"/>
      <c r="K329" s="1037"/>
      <c r="L329" s="1088" t="s">
        <v>210</v>
      </c>
      <c r="M329" s="1064"/>
      <c r="N329" s="1064" t="s">
        <v>216</v>
      </c>
      <c r="O329" s="1074">
        <f>'사. 임직원보수 일람표'!K39</f>
        <v>18360</v>
      </c>
      <c r="P329" s="1069" t="s">
        <v>744</v>
      </c>
      <c r="Q329" s="1072">
        <v>40</v>
      </c>
      <c r="R329" s="1069" t="s">
        <v>744</v>
      </c>
      <c r="S329" s="1070">
        <v>11</v>
      </c>
      <c r="T329" s="1071" t="s">
        <v>410</v>
      </c>
      <c r="U329" s="1090">
        <f t="shared" si="12"/>
        <v>8078400</v>
      </c>
      <c r="AF329" s="1011">
        <f>'사. 임직원보수 일람표'!L39</f>
        <v>8078400</v>
      </c>
      <c r="AG329" s="1011">
        <f t="shared" si="13"/>
        <v>0</v>
      </c>
    </row>
    <row r="330" spans="1:33" ht="21.75" hidden="1" customHeight="1">
      <c r="A330" s="605"/>
      <c r="B330" s="606"/>
      <c r="C330" s="606"/>
      <c r="D330" s="607"/>
      <c r="E330" s="608"/>
      <c r="F330" s="609"/>
      <c r="G330" s="647"/>
      <c r="H330" s="642"/>
      <c r="I330" s="131"/>
      <c r="J330" s="131"/>
      <c r="K330" s="1037"/>
      <c r="L330" s="1088" t="s">
        <v>210</v>
      </c>
      <c r="M330" s="1064"/>
      <c r="N330" s="1064" t="s">
        <v>216</v>
      </c>
      <c r="O330" s="1074">
        <f>'사. 임직원보수 일람표'!K40</f>
        <v>18830</v>
      </c>
      <c r="P330" s="1069" t="s">
        <v>744</v>
      </c>
      <c r="Q330" s="1072">
        <v>40</v>
      </c>
      <c r="R330" s="1069" t="s">
        <v>744</v>
      </c>
      <c r="S330" s="1070">
        <v>1</v>
      </c>
      <c r="T330" s="1071" t="s">
        <v>410</v>
      </c>
      <c r="U330" s="1090">
        <f t="shared" ref="U330:U361" si="14">O330*Q330*S330</f>
        <v>753200</v>
      </c>
      <c r="AF330" s="1011">
        <f>'사. 임직원보수 일람표'!L40</f>
        <v>753200</v>
      </c>
      <c r="AG330" s="1011">
        <f t="shared" ref="AG330:AG361" si="15">U330-AF330</f>
        <v>0</v>
      </c>
    </row>
    <row r="331" spans="1:33" ht="21.75" hidden="1" customHeight="1">
      <c r="A331" s="605"/>
      <c r="B331" s="606"/>
      <c r="C331" s="606"/>
      <c r="D331" s="607"/>
      <c r="E331" s="608"/>
      <c r="F331" s="609"/>
      <c r="G331" s="647"/>
      <c r="H331" s="642"/>
      <c r="I331" s="131"/>
      <c r="J331" s="131"/>
      <c r="K331" s="1037"/>
      <c r="L331" s="1088" t="s">
        <v>210</v>
      </c>
      <c r="M331" s="1064" t="s">
        <v>748</v>
      </c>
      <c r="N331" s="1064" t="s">
        <v>217</v>
      </c>
      <c r="O331" s="1074">
        <f>'사. 임직원보수 일람표'!K41</f>
        <v>18830</v>
      </c>
      <c r="P331" s="1069" t="s">
        <v>744</v>
      </c>
      <c r="Q331" s="1072">
        <v>20</v>
      </c>
      <c r="R331" s="1069" t="s">
        <v>744</v>
      </c>
      <c r="S331" s="1070">
        <v>10</v>
      </c>
      <c r="T331" s="1071" t="s">
        <v>410</v>
      </c>
      <c r="U331" s="1090">
        <f t="shared" si="14"/>
        <v>3766000</v>
      </c>
      <c r="AF331" s="1011">
        <f>'사. 임직원보수 일람표'!L41</f>
        <v>3766000</v>
      </c>
      <c r="AG331" s="1011">
        <f t="shared" si="15"/>
        <v>0</v>
      </c>
    </row>
    <row r="332" spans="1:33" ht="21.75" hidden="1" customHeight="1">
      <c r="A332" s="605"/>
      <c r="B332" s="606"/>
      <c r="C332" s="606"/>
      <c r="D332" s="607"/>
      <c r="E332" s="608"/>
      <c r="F332" s="609"/>
      <c r="G332" s="647"/>
      <c r="H332" s="642"/>
      <c r="I332" s="131"/>
      <c r="J332" s="131"/>
      <c r="K332" s="1037"/>
      <c r="L332" s="1088" t="s">
        <v>210</v>
      </c>
      <c r="M332" s="1064" t="s">
        <v>748</v>
      </c>
      <c r="N332" s="1064" t="s">
        <v>217</v>
      </c>
      <c r="O332" s="1074">
        <f>'사. 임직원보수 일람표'!K42</f>
        <v>19260</v>
      </c>
      <c r="P332" s="1069" t="s">
        <v>744</v>
      </c>
      <c r="Q332" s="1072">
        <v>20</v>
      </c>
      <c r="R332" s="1069" t="s">
        <v>744</v>
      </c>
      <c r="S332" s="1070">
        <v>2</v>
      </c>
      <c r="T332" s="1071" t="s">
        <v>410</v>
      </c>
      <c r="U332" s="1090">
        <f t="shared" si="14"/>
        <v>770400</v>
      </c>
      <c r="AF332" s="1011">
        <f>'사. 임직원보수 일람표'!L42</f>
        <v>770400</v>
      </c>
      <c r="AG332" s="1011">
        <f t="shared" si="15"/>
        <v>0</v>
      </c>
    </row>
    <row r="333" spans="1:33" ht="21.75" hidden="1" customHeight="1">
      <c r="A333" s="605"/>
      <c r="B333" s="606"/>
      <c r="C333" s="606"/>
      <c r="D333" s="607"/>
      <c r="E333" s="608"/>
      <c r="F333" s="609"/>
      <c r="G333" s="647"/>
      <c r="H333" s="642"/>
      <c r="I333" s="131"/>
      <c r="J333" s="131"/>
      <c r="K333" s="1037"/>
      <c r="L333" s="1088" t="s">
        <v>210</v>
      </c>
      <c r="M333" s="1064" t="s">
        <v>748</v>
      </c>
      <c r="N333" s="1064" t="s">
        <v>218</v>
      </c>
      <c r="O333" s="1074">
        <f>'사. 임직원보수 일람표'!K43</f>
        <v>17430</v>
      </c>
      <c r="P333" s="1069" t="s">
        <v>744</v>
      </c>
      <c r="Q333" s="1072">
        <v>20</v>
      </c>
      <c r="R333" s="1069" t="s">
        <v>744</v>
      </c>
      <c r="S333" s="1070">
        <v>4</v>
      </c>
      <c r="T333" s="1071" t="s">
        <v>410</v>
      </c>
      <c r="U333" s="1090">
        <f t="shared" si="14"/>
        <v>1394400</v>
      </c>
      <c r="AF333" s="1011">
        <f>'사. 임직원보수 일람표'!L43</f>
        <v>1394400</v>
      </c>
      <c r="AG333" s="1011">
        <f t="shared" si="15"/>
        <v>0</v>
      </c>
    </row>
    <row r="334" spans="1:33" ht="21.75" hidden="1" customHeight="1">
      <c r="A334" s="605"/>
      <c r="B334" s="606"/>
      <c r="C334" s="606"/>
      <c r="D334" s="607"/>
      <c r="E334" s="608"/>
      <c r="F334" s="609"/>
      <c r="G334" s="647"/>
      <c r="H334" s="642"/>
      <c r="I334" s="131"/>
      <c r="J334" s="131"/>
      <c r="K334" s="1037"/>
      <c r="L334" s="1088" t="s">
        <v>210</v>
      </c>
      <c r="M334" s="1064" t="s">
        <v>748</v>
      </c>
      <c r="N334" s="1064" t="s">
        <v>218</v>
      </c>
      <c r="O334" s="1074">
        <f>'사. 임직원보수 일람표'!K44</f>
        <v>19330</v>
      </c>
      <c r="P334" s="1069" t="s">
        <v>744</v>
      </c>
      <c r="Q334" s="1072">
        <v>20</v>
      </c>
      <c r="R334" s="1069" t="s">
        <v>744</v>
      </c>
      <c r="S334" s="1070">
        <v>8</v>
      </c>
      <c r="T334" s="1071" t="s">
        <v>410</v>
      </c>
      <c r="U334" s="1090">
        <f t="shared" si="14"/>
        <v>3092800</v>
      </c>
      <c r="AF334" s="1011">
        <f>'사. 임직원보수 일람표'!L44</f>
        <v>3092800</v>
      </c>
      <c r="AG334" s="1011">
        <f t="shared" si="15"/>
        <v>0</v>
      </c>
    </row>
    <row r="335" spans="1:33" ht="21.75" hidden="1" customHeight="1">
      <c r="A335" s="605"/>
      <c r="B335" s="606"/>
      <c r="C335" s="606"/>
      <c r="D335" s="607"/>
      <c r="E335" s="608"/>
      <c r="F335" s="609"/>
      <c r="G335" s="647"/>
      <c r="H335" s="642"/>
      <c r="I335" s="131"/>
      <c r="J335" s="131"/>
      <c r="K335" s="1037"/>
      <c r="L335" s="1088" t="s">
        <v>210</v>
      </c>
      <c r="M335" s="1064" t="s">
        <v>748</v>
      </c>
      <c r="N335" s="1064" t="s">
        <v>219</v>
      </c>
      <c r="O335" s="1074">
        <f>'사. 임직원보수 일람표'!K45</f>
        <v>16540</v>
      </c>
      <c r="P335" s="1069" t="s">
        <v>744</v>
      </c>
      <c r="Q335" s="1072">
        <v>20</v>
      </c>
      <c r="R335" s="1069" t="s">
        <v>744</v>
      </c>
      <c r="S335" s="1070">
        <v>3</v>
      </c>
      <c r="T335" s="1071" t="s">
        <v>410</v>
      </c>
      <c r="U335" s="1090">
        <f t="shared" si="14"/>
        <v>992400</v>
      </c>
      <c r="AF335" s="1011">
        <f>'사. 임직원보수 일람표'!L45</f>
        <v>992400</v>
      </c>
      <c r="AG335" s="1011">
        <f t="shared" si="15"/>
        <v>0</v>
      </c>
    </row>
    <row r="336" spans="1:33" ht="21.75" hidden="1" customHeight="1">
      <c r="A336" s="605"/>
      <c r="B336" s="606"/>
      <c r="C336" s="606"/>
      <c r="D336" s="607"/>
      <c r="E336" s="608"/>
      <c r="F336" s="609"/>
      <c r="G336" s="647"/>
      <c r="H336" s="642"/>
      <c r="I336" s="131"/>
      <c r="J336" s="131"/>
      <c r="K336" s="1037"/>
      <c r="L336" s="1088" t="s">
        <v>210</v>
      </c>
      <c r="M336" s="1064" t="s">
        <v>748</v>
      </c>
      <c r="N336" s="1064" t="s">
        <v>219</v>
      </c>
      <c r="O336" s="1074">
        <f>'사. 임직원보수 일람표'!K46</f>
        <v>16970</v>
      </c>
      <c r="P336" s="1069" t="s">
        <v>744</v>
      </c>
      <c r="Q336" s="1072">
        <v>20</v>
      </c>
      <c r="R336" s="1069" t="s">
        <v>744</v>
      </c>
      <c r="S336" s="1070">
        <v>9</v>
      </c>
      <c r="T336" s="1071" t="s">
        <v>410</v>
      </c>
      <c r="U336" s="1090">
        <f t="shared" si="14"/>
        <v>3054600</v>
      </c>
      <c r="AF336" s="1011">
        <f>'사. 임직원보수 일람표'!L46</f>
        <v>3054600</v>
      </c>
      <c r="AG336" s="1011">
        <f t="shared" si="15"/>
        <v>0</v>
      </c>
    </row>
    <row r="337" spans="1:33" ht="21.75" hidden="1" customHeight="1">
      <c r="A337" s="605"/>
      <c r="B337" s="606"/>
      <c r="C337" s="606"/>
      <c r="D337" s="607"/>
      <c r="E337" s="608"/>
      <c r="F337" s="609"/>
      <c r="G337" s="647"/>
      <c r="H337" s="642"/>
      <c r="I337" s="131"/>
      <c r="J337" s="131"/>
      <c r="K337" s="1037"/>
      <c r="L337" s="1088" t="s">
        <v>210</v>
      </c>
      <c r="M337" s="1064"/>
      <c r="N337" s="1064" t="s">
        <v>222</v>
      </c>
      <c r="O337" s="1074">
        <f>'사. 임직원보수 일람표'!K47</f>
        <v>16540</v>
      </c>
      <c r="P337" s="1069" t="s">
        <v>744</v>
      </c>
      <c r="Q337" s="1072">
        <v>20</v>
      </c>
      <c r="R337" s="1069" t="s">
        <v>744</v>
      </c>
      <c r="S337" s="1070">
        <v>3</v>
      </c>
      <c r="T337" s="1071" t="s">
        <v>410</v>
      </c>
      <c r="U337" s="1090">
        <f t="shared" si="14"/>
        <v>992400</v>
      </c>
      <c r="AF337" s="1011">
        <f>'사. 임직원보수 일람표'!L47</f>
        <v>992400</v>
      </c>
      <c r="AG337" s="1011">
        <f t="shared" si="15"/>
        <v>0</v>
      </c>
    </row>
    <row r="338" spans="1:33" ht="21.75" hidden="1" customHeight="1">
      <c r="A338" s="605"/>
      <c r="B338" s="606"/>
      <c r="C338" s="606"/>
      <c r="D338" s="607"/>
      <c r="E338" s="608"/>
      <c r="F338" s="609"/>
      <c r="G338" s="647"/>
      <c r="H338" s="642"/>
      <c r="I338" s="131"/>
      <c r="J338" s="131"/>
      <c r="K338" s="1037"/>
      <c r="L338" s="1088" t="s">
        <v>210</v>
      </c>
      <c r="M338" s="1064"/>
      <c r="N338" s="1064" t="s">
        <v>222</v>
      </c>
      <c r="O338" s="1074">
        <f>'사. 임직원보수 일람표'!K48</f>
        <v>16970</v>
      </c>
      <c r="P338" s="1069" t="s">
        <v>744</v>
      </c>
      <c r="Q338" s="1072">
        <v>20</v>
      </c>
      <c r="R338" s="1069" t="s">
        <v>744</v>
      </c>
      <c r="S338" s="1070">
        <v>9</v>
      </c>
      <c r="T338" s="1071" t="s">
        <v>410</v>
      </c>
      <c r="U338" s="1090">
        <f t="shared" si="14"/>
        <v>3054600</v>
      </c>
      <c r="AF338" s="1011">
        <f>'사. 임직원보수 일람표'!L48</f>
        <v>3054600</v>
      </c>
      <c r="AG338" s="1011">
        <f t="shared" si="15"/>
        <v>0</v>
      </c>
    </row>
    <row r="339" spans="1:33" ht="21.75" hidden="1" customHeight="1">
      <c r="A339" s="605"/>
      <c r="B339" s="606"/>
      <c r="C339" s="606"/>
      <c r="D339" s="607"/>
      <c r="E339" s="608"/>
      <c r="F339" s="609"/>
      <c r="G339" s="647"/>
      <c r="H339" s="642"/>
      <c r="I339" s="131"/>
      <c r="J339" s="131"/>
      <c r="K339" s="1037"/>
      <c r="L339" s="1088" t="s">
        <v>210</v>
      </c>
      <c r="M339" s="1064"/>
      <c r="N339" s="1064" t="s">
        <v>223</v>
      </c>
      <c r="O339" s="1074">
        <f>'사. 임직원보수 일람표'!K49</f>
        <v>17890</v>
      </c>
      <c r="P339" s="1069" t="s">
        <v>744</v>
      </c>
      <c r="Q339" s="1072">
        <v>40</v>
      </c>
      <c r="R339" s="1069" t="s">
        <v>744</v>
      </c>
      <c r="S339" s="1070">
        <v>5</v>
      </c>
      <c r="T339" s="1071" t="s">
        <v>410</v>
      </c>
      <c r="U339" s="1090">
        <f t="shared" si="14"/>
        <v>3578000</v>
      </c>
      <c r="AF339" s="1011">
        <f>'사. 임직원보수 일람표'!L49</f>
        <v>3578000</v>
      </c>
      <c r="AG339" s="1011">
        <f t="shared" si="15"/>
        <v>0</v>
      </c>
    </row>
    <row r="340" spans="1:33" ht="21.75" hidden="1" customHeight="1">
      <c r="A340" s="605"/>
      <c r="B340" s="606"/>
      <c r="C340" s="606"/>
      <c r="D340" s="607"/>
      <c r="E340" s="608"/>
      <c r="F340" s="609"/>
      <c r="G340" s="647"/>
      <c r="H340" s="642"/>
      <c r="I340" s="131"/>
      <c r="J340" s="131"/>
      <c r="K340" s="1037"/>
      <c r="L340" s="1088" t="s">
        <v>210</v>
      </c>
      <c r="M340" s="1064"/>
      <c r="N340" s="1064" t="s">
        <v>224</v>
      </c>
      <c r="O340" s="1074">
        <f>'사. 임직원보수 일람표'!K51</f>
        <v>16970</v>
      </c>
      <c r="P340" s="1069" t="s">
        <v>744</v>
      </c>
      <c r="Q340" s="1072">
        <v>20</v>
      </c>
      <c r="R340" s="1069" t="s">
        <v>744</v>
      </c>
      <c r="S340" s="1070">
        <v>2</v>
      </c>
      <c r="T340" s="1071" t="s">
        <v>410</v>
      </c>
      <c r="U340" s="1090">
        <f t="shared" si="14"/>
        <v>678800</v>
      </c>
      <c r="AF340" s="1011">
        <f>'사. 임직원보수 일람표'!L51</f>
        <v>678800</v>
      </c>
      <c r="AG340" s="1011">
        <f t="shared" si="15"/>
        <v>0</v>
      </c>
    </row>
    <row r="341" spans="1:33" ht="21.75" hidden="1" customHeight="1">
      <c r="A341" s="605"/>
      <c r="B341" s="606"/>
      <c r="C341" s="606"/>
      <c r="D341" s="607"/>
      <c r="E341" s="608"/>
      <c r="F341" s="609"/>
      <c r="G341" s="647"/>
      <c r="H341" s="642"/>
      <c r="I341" s="131"/>
      <c r="J341" s="131"/>
      <c r="K341" s="1037"/>
      <c r="L341" s="1088" t="s">
        <v>210</v>
      </c>
      <c r="M341" s="1064"/>
      <c r="N341" s="1064" t="s">
        <v>224</v>
      </c>
      <c r="O341" s="1074">
        <f>'사. 임직원보수 일람표'!K52</f>
        <v>17430</v>
      </c>
      <c r="P341" s="1069" t="s">
        <v>744</v>
      </c>
      <c r="Q341" s="1072">
        <v>20</v>
      </c>
      <c r="R341" s="1069" t="s">
        <v>744</v>
      </c>
      <c r="S341" s="1070">
        <v>10</v>
      </c>
      <c r="T341" s="1071" t="s">
        <v>410</v>
      </c>
      <c r="U341" s="1090">
        <f t="shared" si="14"/>
        <v>3486000</v>
      </c>
      <c r="AF341" s="1011">
        <f>'사. 임직원보수 일람표'!L52</f>
        <v>3486000</v>
      </c>
      <c r="AG341" s="1011">
        <f t="shared" si="15"/>
        <v>0</v>
      </c>
    </row>
    <row r="342" spans="1:33" ht="21.75" hidden="1" customHeight="1">
      <c r="A342" s="605"/>
      <c r="B342" s="606"/>
      <c r="C342" s="606"/>
      <c r="D342" s="607"/>
      <c r="E342" s="608"/>
      <c r="F342" s="609"/>
      <c r="G342" s="647"/>
      <c r="H342" s="642"/>
      <c r="I342" s="131"/>
      <c r="J342" s="131"/>
      <c r="K342" s="1037"/>
      <c r="L342" s="1088" t="s">
        <v>210</v>
      </c>
      <c r="M342" s="1064"/>
      <c r="N342" s="1064" t="s">
        <v>225</v>
      </c>
      <c r="O342" s="1074">
        <f>'사. 임직원보수 일람표'!K53</f>
        <v>17430</v>
      </c>
      <c r="P342" s="1069" t="s">
        <v>744</v>
      </c>
      <c r="Q342" s="1072">
        <v>20</v>
      </c>
      <c r="R342" s="1069" t="s">
        <v>744</v>
      </c>
      <c r="S342" s="1070">
        <v>5</v>
      </c>
      <c r="T342" s="1071" t="s">
        <v>410</v>
      </c>
      <c r="U342" s="1090">
        <f t="shared" si="14"/>
        <v>1743000</v>
      </c>
      <c r="AF342" s="1011">
        <f>'사. 임직원보수 일람표'!L53</f>
        <v>1743000</v>
      </c>
      <c r="AG342" s="1011">
        <f t="shared" si="15"/>
        <v>0</v>
      </c>
    </row>
    <row r="343" spans="1:33" ht="21.75" hidden="1" customHeight="1">
      <c r="A343" s="605"/>
      <c r="B343" s="606"/>
      <c r="C343" s="606"/>
      <c r="D343" s="607"/>
      <c r="E343" s="608"/>
      <c r="F343" s="609"/>
      <c r="G343" s="647"/>
      <c r="H343" s="642"/>
      <c r="I343" s="131"/>
      <c r="J343" s="131"/>
      <c r="K343" s="1037"/>
      <c r="L343" s="1088" t="s">
        <v>210</v>
      </c>
      <c r="M343" s="1064"/>
      <c r="N343" s="1064" t="s">
        <v>225</v>
      </c>
      <c r="O343" s="1074">
        <f>'사. 임직원보수 일람표'!K54</f>
        <v>17890</v>
      </c>
      <c r="P343" s="1069" t="s">
        <v>744</v>
      </c>
      <c r="Q343" s="1072">
        <v>20</v>
      </c>
      <c r="R343" s="1069" t="s">
        <v>744</v>
      </c>
      <c r="S343" s="1070">
        <v>7</v>
      </c>
      <c r="T343" s="1071" t="s">
        <v>410</v>
      </c>
      <c r="U343" s="1090">
        <f t="shared" si="14"/>
        <v>2504600</v>
      </c>
      <c r="AF343" s="1011">
        <f>'사. 임직원보수 일람표'!L54</f>
        <v>2504600</v>
      </c>
      <c r="AG343" s="1011">
        <f t="shared" si="15"/>
        <v>0</v>
      </c>
    </row>
    <row r="344" spans="1:33" ht="21.75" hidden="1" customHeight="1">
      <c r="A344" s="605"/>
      <c r="B344" s="606"/>
      <c r="C344" s="606"/>
      <c r="D344" s="607"/>
      <c r="E344" s="608"/>
      <c r="F344" s="609"/>
      <c r="G344" s="647"/>
      <c r="H344" s="642"/>
      <c r="I344" s="131"/>
      <c r="J344" s="131"/>
      <c r="K344" s="1037"/>
      <c r="L344" s="1088" t="s">
        <v>210</v>
      </c>
      <c r="M344" s="1064"/>
      <c r="N344" s="1064" t="s">
        <v>226</v>
      </c>
      <c r="O344" s="1074">
        <f>'사. 임직원보수 일람표'!K55</f>
        <v>17430</v>
      </c>
      <c r="P344" s="1069" t="s">
        <v>744</v>
      </c>
      <c r="Q344" s="1072">
        <v>40</v>
      </c>
      <c r="R344" s="1069" t="s">
        <v>744</v>
      </c>
      <c r="S344" s="1070">
        <v>2</v>
      </c>
      <c r="T344" s="1071" t="s">
        <v>410</v>
      </c>
      <c r="U344" s="1090">
        <f t="shared" si="14"/>
        <v>1394400</v>
      </c>
      <c r="AF344" s="1011">
        <f>'사. 임직원보수 일람표'!L55</f>
        <v>1394400</v>
      </c>
      <c r="AG344" s="1011">
        <f t="shared" si="15"/>
        <v>0</v>
      </c>
    </row>
    <row r="345" spans="1:33" ht="21.75" hidden="1" customHeight="1">
      <c r="A345" s="605"/>
      <c r="B345" s="606"/>
      <c r="C345" s="606"/>
      <c r="D345" s="607"/>
      <c r="E345" s="608"/>
      <c r="F345" s="609"/>
      <c r="G345" s="647"/>
      <c r="H345" s="642"/>
      <c r="I345" s="131"/>
      <c r="J345" s="131"/>
      <c r="K345" s="1037"/>
      <c r="L345" s="1088" t="s">
        <v>210</v>
      </c>
      <c r="M345" s="1064"/>
      <c r="N345" s="1064" t="s">
        <v>226</v>
      </c>
      <c r="O345" s="1074">
        <f>'사. 임직원보수 일람표'!K56</f>
        <v>17890</v>
      </c>
      <c r="P345" s="1069" t="s">
        <v>744</v>
      </c>
      <c r="Q345" s="1072">
        <v>40</v>
      </c>
      <c r="R345" s="1069" t="s">
        <v>744</v>
      </c>
      <c r="S345" s="1070">
        <v>5</v>
      </c>
      <c r="T345" s="1071" t="s">
        <v>410</v>
      </c>
      <c r="U345" s="1090">
        <f t="shared" si="14"/>
        <v>3578000</v>
      </c>
      <c r="AF345" s="1011">
        <f>'사. 임직원보수 일람표'!L56</f>
        <v>3578000</v>
      </c>
      <c r="AG345" s="1011">
        <f t="shared" si="15"/>
        <v>0</v>
      </c>
    </row>
    <row r="346" spans="1:33" ht="21.75" hidden="1" customHeight="1">
      <c r="A346" s="605"/>
      <c r="B346" s="606"/>
      <c r="C346" s="606"/>
      <c r="D346" s="607"/>
      <c r="E346" s="608"/>
      <c r="F346" s="609"/>
      <c r="G346" s="647"/>
      <c r="H346" s="642"/>
      <c r="I346" s="131"/>
      <c r="J346" s="131"/>
      <c r="K346" s="1037"/>
      <c r="L346" s="1088" t="s">
        <v>210</v>
      </c>
      <c r="M346" s="1064"/>
      <c r="N346" s="1064" t="s">
        <v>227</v>
      </c>
      <c r="O346" s="1074">
        <f>'사. 임직원보수 일람표'!K57</f>
        <v>16540</v>
      </c>
      <c r="P346" s="1069" t="s">
        <v>744</v>
      </c>
      <c r="Q346" s="1072">
        <v>20</v>
      </c>
      <c r="R346" s="1069" t="s">
        <v>744</v>
      </c>
      <c r="S346" s="1070">
        <v>6</v>
      </c>
      <c r="T346" s="1071" t="s">
        <v>410</v>
      </c>
      <c r="U346" s="1090">
        <f t="shared" si="14"/>
        <v>1984800</v>
      </c>
      <c r="AF346" s="1011">
        <f>'사. 임직원보수 일람표'!L57</f>
        <v>1984800</v>
      </c>
      <c r="AG346" s="1011">
        <f t="shared" si="15"/>
        <v>0</v>
      </c>
    </row>
    <row r="347" spans="1:33" ht="21.75" hidden="1" customHeight="1">
      <c r="A347" s="605"/>
      <c r="B347" s="606"/>
      <c r="C347" s="606"/>
      <c r="D347" s="607"/>
      <c r="E347" s="608"/>
      <c r="F347" s="609"/>
      <c r="G347" s="647"/>
      <c r="H347" s="642"/>
      <c r="I347" s="131"/>
      <c r="J347" s="131"/>
      <c r="K347" s="1037"/>
      <c r="L347" s="1088" t="s">
        <v>210</v>
      </c>
      <c r="M347" s="1064"/>
      <c r="N347" s="1064" t="s">
        <v>227</v>
      </c>
      <c r="O347" s="1074">
        <f>'사. 임직원보수 일람표'!K58</f>
        <v>16970</v>
      </c>
      <c r="P347" s="1069" t="s">
        <v>744</v>
      </c>
      <c r="Q347" s="1072">
        <v>20</v>
      </c>
      <c r="R347" s="1069" t="s">
        <v>744</v>
      </c>
      <c r="S347" s="1070">
        <v>6</v>
      </c>
      <c r="T347" s="1071" t="s">
        <v>410</v>
      </c>
      <c r="U347" s="1090">
        <f t="shared" si="14"/>
        <v>2036400</v>
      </c>
      <c r="AF347" s="1011">
        <f>'사. 임직원보수 일람표'!L58</f>
        <v>2036400</v>
      </c>
      <c r="AG347" s="1011">
        <f t="shared" si="15"/>
        <v>0</v>
      </c>
    </row>
    <row r="348" spans="1:33" ht="21.75" hidden="1" customHeight="1">
      <c r="A348" s="605"/>
      <c r="B348" s="606"/>
      <c r="C348" s="606"/>
      <c r="D348" s="607"/>
      <c r="E348" s="608"/>
      <c r="F348" s="609"/>
      <c r="G348" s="647"/>
      <c r="H348" s="642"/>
      <c r="I348" s="131"/>
      <c r="J348" s="131"/>
      <c r="K348" s="1037"/>
      <c r="L348" s="1088" t="s">
        <v>210</v>
      </c>
      <c r="M348" s="1064"/>
      <c r="N348" s="1064" t="s">
        <v>228</v>
      </c>
      <c r="O348" s="1074">
        <f>'사. 임직원보수 일람표'!K59</f>
        <v>15610</v>
      </c>
      <c r="P348" s="1069" t="s">
        <v>744</v>
      </c>
      <c r="Q348" s="1072">
        <v>40</v>
      </c>
      <c r="R348" s="1069" t="s">
        <v>744</v>
      </c>
      <c r="S348" s="1070">
        <v>6</v>
      </c>
      <c r="T348" s="1071" t="s">
        <v>410</v>
      </c>
      <c r="U348" s="1090">
        <f t="shared" si="14"/>
        <v>3746400</v>
      </c>
      <c r="AF348" s="1011">
        <f>'사. 임직원보수 일람표'!L59</f>
        <v>3746400</v>
      </c>
      <c r="AG348" s="1011">
        <f t="shared" si="15"/>
        <v>0</v>
      </c>
    </row>
    <row r="349" spans="1:33" ht="21.75" hidden="1" customHeight="1">
      <c r="A349" s="605"/>
      <c r="B349" s="606"/>
      <c r="C349" s="606"/>
      <c r="D349" s="607"/>
      <c r="E349" s="608"/>
      <c r="F349" s="609"/>
      <c r="G349" s="647"/>
      <c r="H349" s="642"/>
      <c r="I349" s="131"/>
      <c r="J349" s="131"/>
      <c r="K349" s="1037"/>
      <c r="L349" s="1088" t="s">
        <v>210</v>
      </c>
      <c r="M349" s="1064"/>
      <c r="N349" s="1064" t="s">
        <v>228</v>
      </c>
      <c r="O349" s="1074">
        <f>'사. 임직원보수 일람표'!K60</f>
        <v>16080</v>
      </c>
      <c r="P349" s="1069" t="s">
        <v>744</v>
      </c>
      <c r="Q349" s="1072">
        <v>40</v>
      </c>
      <c r="R349" s="1069" t="s">
        <v>744</v>
      </c>
      <c r="S349" s="1070">
        <v>6</v>
      </c>
      <c r="T349" s="1071" t="s">
        <v>410</v>
      </c>
      <c r="U349" s="1090">
        <f t="shared" si="14"/>
        <v>3859200</v>
      </c>
      <c r="AF349" s="1011">
        <f>'사. 임직원보수 일람표'!L60</f>
        <v>3859200</v>
      </c>
      <c r="AG349" s="1011">
        <f t="shared" si="15"/>
        <v>0</v>
      </c>
    </row>
    <row r="350" spans="1:33" ht="21.75" hidden="1" customHeight="1">
      <c r="A350" s="605"/>
      <c r="B350" s="606"/>
      <c r="C350" s="606"/>
      <c r="D350" s="607"/>
      <c r="E350" s="608"/>
      <c r="F350" s="609"/>
      <c r="G350" s="647"/>
      <c r="H350" s="642"/>
      <c r="I350" s="131"/>
      <c r="J350" s="131"/>
      <c r="K350" s="1037"/>
      <c r="L350" s="1088" t="s">
        <v>210</v>
      </c>
      <c r="M350" s="1064"/>
      <c r="N350" s="1064" t="s">
        <v>230</v>
      </c>
      <c r="O350" s="1074">
        <f>'사. 임직원보수 일람표'!K61</f>
        <v>14690</v>
      </c>
      <c r="P350" s="1069" t="s">
        <v>744</v>
      </c>
      <c r="Q350" s="1072">
        <v>40</v>
      </c>
      <c r="R350" s="1069" t="s">
        <v>744</v>
      </c>
      <c r="S350" s="1070">
        <v>4</v>
      </c>
      <c r="T350" s="1071" t="s">
        <v>410</v>
      </c>
      <c r="U350" s="1090">
        <f t="shared" si="14"/>
        <v>2350400</v>
      </c>
      <c r="AF350" s="1011">
        <f>'사. 임직원보수 일람표'!L61</f>
        <v>2350400</v>
      </c>
      <c r="AG350" s="1011">
        <f t="shared" si="15"/>
        <v>0</v>
      </c>
    </row>
    <row r="351" spans="1:33" ht="21.75" hidden="1" customHeight="1">
      <c r="A351" s="605"/>
      <c r="B351" s="606"/>
      <c r="C351" s="606"/>
      <c r="D351" s="607"/>
      <c r="E351" s="608"/>
      <c r="F351" s="609"/>
      <c r="G351" s="647"/>
      <c r="H351" s="642"/>
      <c r="I351" s="131"/>
      <c r="J351" s="131"/>
      <c r="K351" s="1037"/>
      <c r="L351" s="1088" t="s">
        <v>210</v>
      </c>
      <c r="M351" s="1064"/>
      <c r="N351" s="1064" t="s">
        <v>230</v>
      </c>
      <c r="O351" s="1074">
        <f>'사. 임직원보수 일람표'!K62</f>
        <v>15140</v>
      </c>
      <c r="P351" s="1069" t="s">
        <v>744</v>
      </c>
      <c r="Q351" s="1072">
        <v>40</v>
      </c>
      <c r="R351" s="1069" t="s">
        <v>744</v>
      </c>
      <c r="S351" s="1070">
        <v>8</v>
      </c>
      <c r="T351" s="1071" t="s">
        <v>410</v>
      </c>
      <c r="U351" s="1090">
        <f t="shared" si="14"/>
        <v>4844800</v>
      </c>
      <c r="AF351" s="1011">
        <f>'사. 임직원보수 일람표'!L62</f>
        <v>4844800</v>
      </c>
      <c r="AG351" s="1011">
        <f t="shared" si="15"/>
        <v>0</v>
      </c>
    </row>
    <row r="352" spans="1:33" ht="21.75" hidden="1" customHeight="1">
      <c r="A352" s="605"/>
      <c r="B352" s="606"/>
      <c r="C352" s="606"/>
      <c r="D352" s="607"/>
      <c r="E352" s="608"/>
      <c r="F352" s="609"/>
      <c r="G352" s="647"/>
      <c r="H352" s="642"/>
      <c r="I352" s="131"/>
      <c r="J352" s="131"/>
      <c r="K352" s="1037"/>
      <c r="L352" s="1088" t="s">
        <v>210</v>
      </c>
      <c r="M352" s="1064"/>
      <c r="N352" s="1064" t="s">
        <v>231</v>
      </c>
      <c r="O352" s="1074">
        <f>'사. 임직원보수 일람표'!K63</f>
        <v>14260</v>
      </c>
      <c r="P352" s="1069" t="s">
        <v>744</v>
      </c>
      <c r="Q352" s="1072">
        <v>40</v>
      </c>
      <c r="R352" s="1069" t="s">
        <v>744</v>
      </c>
      <c r="S352" s="1070">
        <v>9</v>
      </c>
      <c r="T352" s="1071" t="s">
        <v>410</v>
      </c>
      <c r="U352" s="1090">
        <f t="shared" si="14"/>
        <v>5133600</v>
      </c>
      <c r="AF352" s="1011">
        <f>'사. 임직원보수 일람표'!L63</f>
        <v>5133600</v>
      </c>
      <c r="AG352" s="1011">
        <f t="shared" si="15"/>
        <v>0</v>
      </c>
    </row>
    <row r="353" spans="1:33" ht="21.75" hidden="1" customHeight="1">
      <c r="A353" s="605"/>
      <c r="B353" s="606"/>
      <c r="C353" s="606"/>
      <c r="D353" s="607"/>
      <c r="E353" s="608"/>
      <c r="F353" s="609"/>
      <c r="G353" s="647"/>
      <c r="H353" s="642"/>
      <c r="I353" s="131"/>
      <c r="J353" s="131"/>
      <c r="K353" s="1037"/>
      <c r="L353" s="1088" t="s">
        <v>210</v>
      </c>
      <c r="M353" s="1064"/>
      <c r="N353" s="1064" t="s">
        <v>231</v>
      </c>
      <c r="O353" s="1074">
        <f>'사. 임직원보수 일람표'!K64</f>
        <v>14690</v>
      </c>
      <c r="P353" s="1069" t="s">
        <v>744</v>
      </c>
      <c r="Q353" s="1072">
        <v>40</v>
      </c>
      <c r="R353" s="1069" t="s">
        <v>744</v>
      </c>
      <c r="S353" s="1070">
        <v>3</v>
      </c>
      <c r="T353" s="1071" t="s">
        <v>410</v>
      </c>
      <c r="U353" s="1090">
        <f t="shared" si="14"/>
        <v>1762800</v>
      </c>
      <c r="AF353" s="1011">
        <f>'사. 임직원보수 일람표'!L64</f>
        <v>1762800</v>
      </c>
      <c r="AG353" s="1011">
        <f t="shared" si="15"/>
        <v>0</v>
      </c>
    </row>
    <row r="354" spans="1:33" ht="21.75" hidden="1" customHeight="1">
      <c r="A354" s="605"/>
      <c r="B354" s="606"/>
      <c r="C354" s="606"/>
      <c r="D354" s="607"/>
      <c r="E354" s="608"/>
      <c r="F354" s="609"/>
      <c r="G354" s="647"/>
      <c r="H354" s="642"/>
      <c r="I354" s="131"/>
      <c r="J354" s="131"/>
      <c r="K354" s="1037"/>
      <c r="L354" s="1088" t="s">
        <v>210</v>
      </c>
      <c r="M354" s="1064"/>
      <c r="N354" s="1064" t="s">
        <v>232</v>
      </c>
      <c r="O354" s="1074">
        <f>'사. 임직원보수 일람표'!K65</f>
        <v>14690</v>
      </c>
      <c r="P354" s="1069" t="s">
        <v>744</v>
      </c>
      <c r="Q354" s="1072">
        <v>40</v>
      </c>
      <c r="R354" s="1069" t="s">
        <v>744</v>
      </c>
      <c r="S354" s="1070">
        <v>4</v>
      </c>
      <c r="T354" s="1071" t="s">
        <v>410</v>
      </c>
      <c r="U354" s="1090">
        <f t="shared" si="14"/>
        <v>2350400</v>
      </c>
      <c r="AF354" s="1011">
        <f>'사. 임직원보수 일람표'!L65</f>
        <v>2350400</v>
      </c>
      <c r="AG354" s="1011">
        <f t="shared" si="15"/>
        <v>0</v>
      </c>
    </row>
    <row r="355" spans="1:33" ht="21.75" hidden="1" customHeight="1">
      <c r="A355" s="605"/>
      <c r="B355" s="606"/>
      <c r="C355" s="606"/>
      <c r="D355" s="607"/>
      <c r="E355" s="608"/>
      <c r="F355" s="609"/>
      <c r="G355" s="647"/>
      <c r="H355" s="642"/>
      <c r="I355" s="131"/>
      <c r="J355" s="131"/>
      <c r="K355" s="1037"/>
      <c r="L355" s="1088" t="s">
        <v>210</v>
      </c>
      <c r="M355" s="1064"/>
      <c r="N355" s="1064" t="s">
        <v>232</v>
      </c>
      <c r="O355" s="1074">
        <f>'사. 임직원보수 일람표'!K66</f>
        <v>15140</v>
      </c>
      <c r="P355" s="1069" t="s">
        <v>744</v>
      </c>
      <c r="Q355" s="1072">
        <v>40</v>
      </c>
      <c r="R355" s="1069" t="s">
        <v>744</v>
      </c>
      <c r="S355" s="1070">
        <v>8</v>
      </c>
      <c r="T355" s="1071" t="s">
        <v>410</v>
      </c>
      <c r="U355" s="1090">
        <f t="shared" si="14"/>
        <v>4844800</v>
      </c>
      <c r="AF355" s="1011">
        <f>'사. 임직원보수 일람표'!L66</f>
        <v>4844800</v>
      </c>
      <c r="AG355" s="1011">
        <f t="shared" si="15"/>
        <v>0</v>
      </c>
    </row>
    <row r="356" spans="1:33" ht="21.75" hidden="1" customHeight="1">
      <c r="A356" s="605"/>
      <c r="B356" s="606"/>
      <c r="C356" s="606"/>
      <c r="D356" s="607"/>
      <c r="E356" s="608"/>
      <c r="F356" s="609"/>
      <c r="G356" s="647"/>
      <c r="H356" s="642"/>
      <c r="I356" s="131"/>
      <c r="J356" s="131"/>
      <c r="K356" s="1037"/>
      <c r="L356" s="1088" t="s">
        <v>210</v>
      </c>
      <c r="M356" s="1064"/>
      <c r="N356" s="1064" t="s">
        <v>233</v>
      </c>
      <c r="O356" s="1074">
        <f>'사. 임직원보수 일람표'!K67</f>
        <v>14690</v>
      </c>
      <c r="P356" s="1069" t="s">
        <v>744</v>
      </c>
      <c r="Q356" s="1072">
        <v>40</v>
      </c>
      <c r="R356" s="1069" t="s">
        <v>744</v>
      </c>
      <c r="S356" s="1070">
        <v>10</v>
      </c>
      <c r="T356" s="1071" t="s">
        <v>410</v>
      </c>
      <c r="U356" s="1090">
        <f t="shared" si="14"/>
        <v>5876000</v>
      </c>
      <c r="AF356" s="1011">
        <f>'사. 임직원보수 일람표'!L67</f>
        <v>5876000</v>
      </c>
      <c r="AG356" s="1011">
        <f t="shared" si="15"/>
        <v>0</v>
      </c>
    </row>
    <row r="357" spans="1:33" ht="21.75" hidden="1" customHeight="1">
      <c r="A357" s="605"/>
      <c r="B357" s="606"/>
      <c r="C357" s="606"/>
      <c r="D357" s="607"/>
      <c r="E357" s="608"/>
      <c r="F357" s="609"/>
      <c r="G357" s="647"/>
      <c r="H357" s="642"/>
      <c r="I357" s="131"/>
      <c r="J357" s="131"/>
      <c r="K357" s="1037"/>
      <c r="L357" s="1088" t="s">
        <v>210</v>
      </c>
      <c r="M357" s="1064"/>
      <c r="N357" s="1064" t="s">
        <v>233</v>
      </c>
      <c r="O357" s="1074">
        <f>'사. 임직원보수 일람표'!K68</f>
        <v>15140</v>
      </c>
      <c r="P357" s="1069" t="s">
        <v>744</v>
      </c>
      <c r="Q357" s="1072">
        <v>40</v>
      </c>
      <c r="R357" s="1069" t="s">
        <v>744</v>
      </c>
      <c r="S357" s="1070">
        <v>2</v>
      </c>
      <c r="T357" s="1071" t="s">
        <v>410</v>
      </c>
      <c r="U357" s="1090">
        <f t="shared" si="14"/>
        <v>1211200</v>
      </c>
      <c r="AF357" s="1011">
        <f>'사. 임직원보수 일람표'!L68</f>
        <v>1211200</v>
      </c>
      <c r="AG357" s="1011">
        <f t="shared" si="15"/>
        <v>0</v>
      </c>
    </row>
    <row r="358" spans="1:33" ht="21.75" hidden="1" customHeight="1">
      <c r="A358" s="605"/>
      <c r="B358" s="606"/>
      <c r="C358" s="606"/>
      <c r="D358" s="607"/>
      <c r="E358" s="608"/>
      <c r="F358" s="609"/>
      <c r="G358" s="647"/>
      <c r="H358" s="642"/>
      <c r="I358" s="131"/>
      <c r="J358" s="131"/>
      <c r="K358" s="1037"/>
      <c r="L358" s="1088" t="s">
        <v>210</v>
      </c>
      <c r="M358" s="1064"/>
      <c r="N358" s="1064" t="s">
        <v>234</v>
      </c>
      <c r="O358" s="1074">
        <f>'사. 임직원보수 일람표'!K69</f>
        <v>14690</v>
      </c>
      <c r="P358" s="1069" t="s">
        <v>744</v>
      </c>
      <c r="Q358" s="1072">
        <v>40</v>
      </c>
      <c r="R358" s="1069" t="s">
        <v>744</v>
      </c>
      <c r="S358" s="1070">
        <v>10</v>
      </c>
      <c r="T358" s="1071" t="s">
        <v>410</v>
      </c>
      <c r="U358" s="1090">
        <f t="shared" si="14"/>
        <v>5876000</v>
      </c>
      <c r="AF358" s="1011">
        <f>'사. 임직원보수 일람표'!L69</f>
        <v>5876000</v>
      </c>
      <c r="AG358" s="1011">
        <f t="shared" si="15"/>
        <v>0</v>
      </c>
    </row>
    <row r="359" spans="1:33" ht="21.75" hidden="1" customHeight="1">
      <c r="A359" s="605"/>
      <c r="B359" s="606"/>
      <c r="C359" s="606"/>
      <c r="D359" s="607"/>
      <c r="E359" s="608"/>
      <c r="F359" s="609"/>
      <c r="G359" s="647"/>
      <c r="H359" s="642"/>
      <c r="I359" s="131"/>
      <c r="J359" s="131"/>
      <c r="K359" s="1037"/>
      <c r="L359" s="1088" t="s">
        <v>210</v>
      </c>
      <c r="M359" s="1064"/>
      <c r="N359" s="1064" t="s">
        <v>234</v>
      </c>
      <c r="O359" s="1074">
        <f>'사. 임직원보수 일람표'!K70</f>
        <v>15140</v>
      </c>
      <c r="P359" s="1069" t="s">
        <v>744</v>
      </c>
      <c r="Q359" s="1072">
        <v>40</v>
      </c>
      <c r="R359" s="1069" t="s">
        <v>744</v>
      </c>
      <c r="S359" s="1070">
        <v>2</v>
      </c>
      <c r="T359" s="1071" t="s">
        <v>410</v>
      </c>
      <c r="U359" s="1090">
        <f t="shared" si="14"/>
        <v>1211200</v>
      </c>
      <c r="AF359" s="1011">
        <f>'사. 임직원보수 일람표'!L70</f>
        <v>1211200</v>
      </c>
      <c r="AG359" s="1011">
        <f t="shared" si="15"/>
        <v>0</v>
      </c>
    </row>
    <row r="360" spans="1:33" ht="21.75" hidden="1" customHeight="1">
      <c r="A360" s="605"/>
      <c r="B360" s="606"/>
      <c r="C360" s="606"/>
      <c r="D360" s="607"/>
      <c r="E360" s="608"/>
      <c r="F360" s="609"/>
      <c r="G360" s="647"/>
      <c r="H360" s="642"/>
      <c r="I360" s="131"/>
      <c r="J360" s="131"/>
      <c r="K360" s="1037"/>
      <c r="L360" s="1088" t="s">
        <v>210</v>
      </c>
      <c r="M360" s="1064"/>
      <c r="N360" s="1064" t="s">
        <v>235</v>
      </c>
      <c r="O360" s="1074">
        <f>'사. 임직원보수 일람표'!K71</f>
        <v>15610</v>
      </c>
      <c r="P360" s="1069" t="s">
        <v>744</v>
      </c>
      <c r="Q360" s="1072">
        <v>40</v>
      </c>
      <c r="R360" s="1069" t="s">
        <v>744</v>
      </c>
      <c r="S360" s="1070">
        <v>12</v>
      </c>
      <c r="T360" s="1071" t="s">
        <v>410</v>
      </c>
      <c r="U360" s="1090">
        <f t="shared" si="14"/>
        <v>7492800</v>
      </c>
      <c r="AF360" s="1011">
        <f>'사. 임직원보수 일람표'!L71</f>
        <v>7492800</v>
      </c>
      <c r="AG360" s="1011">
        <f t="shared" si="15"/>
        <v>0</v>
      </c>
    </row>
    <row r="361" spans="1:33" ht="21.75" hidden="1" customHeight="1">
      <c r="A361" s="605"/>
      <c r="B361" s="606"/>
      <c r="C361" s="606"/>
      <c r="D361" s="607"/>
      <c r="E361" s="608"/>
      <c r="F361" s="609"/>
      <c r="G361" s="647"/>
      <c r="H361" s="642"/>
      <c r="I361" s="131"/>
      <c r="J361" s="131"/>
      <c r="K361" s="1037"/>
      <c r="L361" s="1088" t="s">
        <v>210</v>
      </c>
      <c r="M361" s="1064"/>
      <c r="N361" s="1064" t="s">
        <v>236</v>
      </c>
      <c r="O361" s="1074">
        <f>'사. 임직원보수 일람표'!K73</f>
        <v>14260</v>
      </c>
      <c r="P361" s="1069" t="s">
        <v>744</v>
      </c>
      <c r="Q361" s="1072">
        <v>40</v>
      </c>
      <c r="R361" s="1069" t="s">
        <v>744</v>
      </c>
      <c r="S361" s="1070">
        <v>2</v>
      </c>
      <c r="T361" s="1071" t="s">
        <v>410</v>
      </c>
      <c r="U361" s="1090">
        <f t="shared" si="14"/>
        <v>1140800</v>
      </c>
      <c r="Z361" s="1010">
        <f>SUM(U359:U361)</f>
        <v>9844800</v>
      </c>
      <c r="AF361" s="1011">
        <f>'사. 임직원보수 일람표'!L73</f>
        <v>1140800</v>
      </c>
      <c r="AG361" s="1011">
        <f t="shared" si="15"/>
        <v>0</v>
      </c>
    </row>
    <row r="362" spans="1:33" ht="21.75" hidden="1" customHeight="1">
      <c r="A362" s="605"/>
      <c r="B362" s="606"/>
      <c r="C362" s="606"/>
      <c r="D362" s="607"/>
      <c r="E362" s="608"/>
      <c r="F362" s="609"/>
      <c r="G362" s="647"/>
      <c r="H362" s="642"/>
      <c r="I362" s="131"/>
      <c r="J362" s="131"/>
      <c r="K362" s="1037"/>
      <c r="L362" s="1088" t="s">
        <v>210</v>
      </c>
      <c r="M362" s="1064"/>
      <c r="N362" s="1064" t="s">
        <v>236</v>
      </c>
      <c r="O362" s="1074">
        <f>'사. 임직원보수 일람표'!K74</f>
        <v>14690</v>
      </c>
      <c r="P362" s="1069" t="s">
        <v>744</v>
      </c>
      <c r="Q362" s="1072">
        <v>40</v>
      </c>
      <c r="R362" s="1069" t="s">
        <v>744</v>
      </c>
      <c r="S362" s="1070">
        <v>10</v>
      </c>
      <c r="T362" s="1071" t="s">
        <v>410</v>
      </c>
      <c r="U362" s="1090">
        <f t="shared" ref="U362:U393" si="16">O362*Q362*S362</f>
        <v>5876000</v>
      </c>
      <c r="AF362" s="1011">
        <f>'사. 임직원보수 일람표'!L74</f>
        <v>5876000</v>
      </c>
      <c r="AG362" s="1011">
        <f t="shared" ref="AG362:AG393" si="17">U362-AF362</f>
        <v>0</v>
      </c>
    </row>
    <row r="363" spans="1:33" ht="21.75" hidden="1" customHeight="1">
      <c r="A363" s="605"/>
      <c r="B363" s="606"/>
      <c r="C363" s="606"/>
      <c r="D363" s="607"/>
      <c r="E363" s="608"/>
      <c r="F363" s="609"/>
      <c r="G363" s="647"/>
      <c r="H363" s="642"/>
      <c r="I363" s="131"/>
      <c r="J363" s="131"/>
      <c r="K363" s="1037"/>
      <c r="L363" s="1088" t="s">
        <v>210</v>
      </c>
      <c r="M363" s="1064"/>
      <c r="N363" s="1064" t="s">
        <v>237</v>
      </c>
      <c r="O363" s="1074">
        <f>'사. 임직원보수 일람표'!K75</f>
        <v>13440</v>
      </c>
      <c r="P363" s="1069" t="s">
        <v>744</v>
      </c>
      <c r="Q363" s="1072">
        <v>40</v>
      </c>
      <c r="R363" s="1069" t="s">
        <v>744</v>
      </c>
      <c r="S363" s="1070">
        <v>5</v>
      </c>
      <c r="T363" s="1071" t="s">
        <v>410</v>
      </c>
      <c r="U363" s="1090">
        <f t="shared" si="16"/>
        <v>2688000</v>
      </c>
      <c r="AF363" s="1011">
        <f>'사. 임직원보수 일람표'!L75</f>
        <v>2688000</v>
      </c>
      <c r="AG363" s="1011">
        <f t="shared" si="17"/>
        <v>0</v>
      </c>
    </row>
    <row r="364" spans="1:33" ht="21.75" hidden="1" customHeight="1">
      <c r="A364" s="605"/>
      <c r="B364" s="606"/>
      <c r="C364" s="606"/>
      <c r="D364" s="607"/>
      <c r="E364" s="608"/>
      <c r="F364" s="609"/>
      <c r="G364" s="647"/>
      <c r="H364" s="642"/>
      <c r="I364" s="131"/>
      <c r="J364" s="131"/>
      <c r="K364" s="1037"/>
      <c r="L364" s="1088" t="s">
        <v>210</v>
      </c>
      <c r="M364" s="1064"/>
      <c r="N364" s="1064" t="s">
        <v>237</v>
      </c>
      <c r="O364" s="1074">
        <f>'사. 임직원보수 일람표'!K76</f>
        <v>13840</v>
      </c>
      <c r="P364" s="1069" t="s">
        <v>744</v>
      </c>
      <c r="Q364" s="1072">
        <v>40</v>
      </c>
      <c r="R364" s="1069" t="s">
        <v>744</v>
      </c>
      <c r="S364" s="1070">
        <v>7</v>
      </c>
      <c r="T364" s="1071" t="s">
        <v>410</v>
      </c>
      <c r="U364" s="1090">
        <f t="shared" si="16"/>
        <v>3875200</v>
      </c>
      <c r="AF364" s="1011">
        <f>'사. 임직원보수 일람표'!L76</f>
        <v>3875200</v>
      </c>
      <c r="AG364" s="1011">
        <f t="shared" si="17"/>
        <v>0</v>
      </c>
    </row>
    <row r="365" spans="1:33" ht="21.75" hidden="1" customHeight="1">
      <c r="A365" s="605"/>
      <c r="B365" s="606"/>
      <c r="C365" s="606"/>
      <c r="D365" s="607"/>
      <c r="E365" s="608"/>
      <c r="F365" s="609"/>
      <c r="G365" s="647"/>
      <c r="H365" s="642"/>
      <c r="I365" s="131"/>
      <c r="J365" s="131"/>
      <c r="K365" s="1037"/>
      <c r="L365" s="1088" t="s">
        <v>210</v>
      </c>
      <c r="M365" s="1064"/>
      <c r="N365" s="1064" t="s">
        <v>240</v>
      </c>
      <c r="O365" s="1074">
        <f>'사. 임직원보수 일람표'!K77</f>
        <v>13440</v>
      </c>
      <c r="P365" s="1069" t="s">
        <v>744</v>
      </c>
      <c r="Q365" s="1072">
        <v>40</v>
      </c>
      <c r="R365" s="1069" t="s">
        <v>744</v>
      </c>
      <c r="S365" s="1070">
        <v>10</v>
      </c>
      <c r="T365" s="1071" t="s">
        <v>410</v>
      </c>
      <c r="U365" s="1090">
        <f t="shared" si="16"/>
        <v>5376000</v>
      </c>
      <c r="AF365" s="1011">
        <f>'사. 임직원보수 일람표'!L77</f>
        <v>5376000</v>
      </c>
      <c r="AG365" s="1011">
        <f t="shared" si="17"/>
        <v>0</v>
      </c>
    </row>
    <row r="366" spans="1:33" ht="21.75" hidden="1" customHeight="1">
      <c r="A366" s="605"/>
      <c r="B366" s="606"/>
      <c r="C366" s="606"/>
      <c r="D366" s="607"/>
      <c r="E366" s="608"/>
      <c r="F366" s="609"/>
      <c r="G366" s="647"/>
      <c r="H366" s="642"/>
      <c r="I366" s="131"/>
      <c r="J366" s="131"/>
      <c r="K366" s="1037"/>
      <c r="L366" s="1088" t="s">
        <v>210</v>
      </c>
      <c r="M366" s="1064"/>
      <c r="N366" s="1064" t="s">
        <v>240</v>
      </c>
      <c r="O366" s="1074">
        <f>'사. 임직원보수 일람표'!K78</f>
        <v>13840</v>
      </c>
      <c r="P366" s="1069" t="s">
        <v>744</v>
      </c>
      <c r="Q366" s="1072">
        <v>40</v>
      </c>
      <c r="R366" s="1069" t="s">
        <v>744</v>
      </c>
      <c r="S366" s="1070">
        <v>2</v>
      </c>
      <c r="T366" s="1071" t="s">
        <v>410</v>
      </c>
      <c r="U366" s="1090">
        <f t="shared" si="16"/>
        <v>1107200</v>
      </c>
      <c r="AF366" s="1011">
        <f>'사. 임직원보수 일람표'!L78</f>
        <v>1107200</v>
      </c>
      <c r="AG366" s="1011">
        <f t="shared" si="17"/>
        <v>0</v>
      </c>
    </row>
    <row r="367" spans="1:33" ht="21.75" hidden="1" customHeight="1">
      <c r="A367" s="605"/>
      <c r="B367" s="606"/>
      <c r="C367" s="606"/>
      <c r="D367" s="607"/>
      <c r="E367" s="608"/>
      <c r="F367" s="609"/>
      <c r="G367" s="647"/>
      <c r="H367" s="642"/>
      <c r="I367" s="131"/>
      <c r="J367" s="131"/>
      <c r="K367" s="1037"/>
      <c r="L367" s="1088" t="s">
        <v>210</v>
      </c>
      <c r="M367" s="1064"/>
      <c r="N367" s="1064" t="s">
        <v>241</v>
      </c>
      <c r="O367" s="1074">
        <f>'사. 임직원보수 일람표'!K79</f>
        <v>13070</v>
      </c>
      <c r="P367" s="1069" t="s">
        <v>744</v>
      </c>
      <c r="Q367" s="1072">
        <v>40</v>
      </c>
      <c r="R367" s="1069" t="s">
        <v>744</v>
      </c>
      <c r="S367" s="1070">
        <v>2</v>
      </c>
      <c r="T367" s="1071" t="s">
        <v>410</v>
      </c>
      <c r="U367" s="1090">
        <f t="shared" si="16"/>
        <v>1045600</v>
      </c>
      <c r="AF367" s="1011">
        <f>'사. 임직원보수 일람표'!L79</f>
        <v>1045600</v>
      </c>
      <c r="AG367" s="1011">
        <f t="shared" si="17"/>
        <v>0</v>
      </c>
    </row>
    <row r="368" spans="1:33" ht="21.75" hidden="1" customHeight="1">
      <c r="A368" s="605"/>
      <c r="B368" s="606"/>
      <c r="C368" s="606"/>
      <c r="D368" s="607"/>
      <c r="E368" s="608"/>
      <c r="F368" s="609"/>
      <c r="G368" s="647"/>
      <c r="H368" s="642"/>
      <c r="I368" s="131"/>
      <c r="J368" s="131"/>
      <c r="K368" s="1037"/>
      <c r="L368" s="1088" t="s">
        <v>210</v>
      </c>
      <c r="M368" s="1064"/>
      <c r="N368" s="1064" t="s">
        <v>241</v>
      </c>
      <c r="O368" s="1074">
        <f>'사. 임직원보수 일람표'!K80</f>
        <v>13440</v>
      </c>
      <c r="P368" s="1069" t="s">
        <v>744</v>
      </c>
      <c r="Q368" s="1072">
        <v>40</v>
      </c>
      <c r="R368" s="1069" t="s">
        <v>744</v>
      </c>
      <c r="S368" s="1070">
        <v>10</v>
      </c>
      <c r="T368" s="1071" t="s">
        <v>410</v>
      </c>
      <c r="U368" s="1090">
        <f t="shared" si="16"/>
        <v>5376000</v>
      </c>
      <c r="AF368" s="1011">
        <f>'사. 임직원보수 일람표'!L80</f>
        <v>5376000</v>
      </c>
      <c r="AG368" s="1011">
        <f t="shared" si="17"/>
        <v>0</v>
      </c>
    </row>
    <row r="369" spans="1:33" ht="21.75" hidden="1" customHeight="1">
      <c r="A369" s="605"/>
      <c r="B369" s="606"/>
      <c r="C369" s="606"/>
      <c r="D369" s="607"/>
      <c r="E369" s="608"/>
      <c r="F369" s="609"/>
      <c r="G369" s="647"/>
      <c r="H369" s="642"/>
      <c r="I369" s="131"/>
      <c r="J369" s="131"/>
      <c r="K369" s="1037"/>
      <c r="L369" s="1088" t="s">
        <v>210</v>
      </c>
      <c r="M369" s="1064"/>
      <c r="N369" s="1064" t="s">
        <v>242</v>
      </c>
      <c r="O369" s="1074">
        <f>'사. 임직원보수 일람표'!K81</f>
        <v>14690</v>
      </c>
      <c r="P369" s="1069" t="s">
        <v>744</v>
      </c>
      <c r="Q369" s="1072">
        <v>20</v>
      </c>
      <c r="R369" s="1069" t="s">
        <v>744</v>
      </c>
      <c r="S369" s="1070">
        <v>3</v>
      </c>
      <c r="T369" s="1071" t="s">
        <v>410</v>
      </c>
      <c r="U369" s="1090">
        <f t="shared" si="16"/>
        <v>881400</v>
      </c>
      <c r="AF369" s="1011">
        <f>'사. 임직원보수 일람표'!L81</f>
        <v>881400</v>
      </c>
      <c r="AG369" s="1011">
        <f t="shared" si="17"/>
        <v>0</v>
      </c>
    </row>
    <row r="370" spans="1:33" ht="21.75" hidden="1" customHeight="1">
      <c r="A370" s="605"/>
      <c r="B370" s="606"/>
      <c r="C370" s="606"/>
      <c r="D370" s="607"/>
      <c r="E370" s="608"/>
      <c r="F370" s="609"/>
      <c r="G370" s="647"/>
      <c r="H370" s="642"/>
      <c r="I370" s="131"/>
      <c r="J370" s="131"/>
      <c r="K370" s="1037"/>
      <c r="L370" s="1088" t="s">
        <v>210</v>
      </c>
      <c r="M370" s="1064"/>
      <c r="N370" s="1064" t="s">
        <v>242</v>
      </c>
      <c r="O370" s="1074">
        <f>'사. 임직원보수 일람표'!K82</f>
        <v>15140</v>
      </c>
      <c r="P370" s="1069" t="s">
        <v>744</v>
      </c>
      <c r="Q370" s="1072">
        <v>20</v>
      </c>
      <c r="R370" s="1069" t="s">
        <v>744</v>
      </c>
      <c r="S370" s="1070">
        <v>9</v>
      </c>
      <c r="T370" s="1071" t="s">
        <v>410</v>
      </c>
      <c r="U370" s="1090">
        <f t="shared" si="16"/>
        <v>2725200</v>
      </c>
      <c r="AF370" s="1011">
        <f>'사. 임직원보수 일람표'!L82</f>
        <v>2725200</v>
      </c>
      <c r="AG370" s="1011">
        <f t="shared" si="17"/>
        <v>0</v>
      </c>
    </row>
    <row r="371" spans="1:33" ht="21.75" hidden="1" customHeight="1">
      <c r="A371" s="605"/>
      <c r="B371" s="606"/>
      <c r="C371" s="606"/>
      <c r="D371" s="607"/>
      <c r="E371" s="608"/>
      <c r="F371" s="609"/>
      <c r="G371" s="647"/>
      <c r="H371" s="642"/>
      <c r="I371" s="131"/>
      <c r="J371" s="131"/>
      <c r="K371" s="1037"/>
      <c r="L371" s="1088" t="s">
        <v>210</v>
      </c>
      <c r="M371" s="1064"/>
      <c r="N371" s="1064" t="s">
        <v>276</v>
      </c>
      <c r="O371" s="1074">
        <f>'사. 임직원보수 일람표'!K83</f>
        <v>13070</v>
      </c>
      <c r="P371" s="1069" t="s">
        <v>744</v>
      </c>
      <c r="Q371" s="1072">
        <v>40</v>
      </c>
      <c r="R371" s="1069" t="s">
        <v>744</v>
      </c>
      <c r="S371" s="1070">
        <v>4</v>
      </c>
      <c r="T371" s="1071" t="s">
        <v>410</v>
      </c>
      <c r="U371" s="1090">
        <f t="shared" si="16"/>
        <v>2091200</v>
      </c>
      <c r="AF371" s="1011">
        <f>'사. 임직원보수 일람표'!L83</f>
        <v>2091200</v>
      </c>
      <c r="AG371" s="1011">
        <f t="shared" si="17"/>
        <v>0</v>
      </c>
    </row>
    <row r="372" spans="1:33" ht="21.75" hidden="1" customHeight="1">
      <c r="A372" s="605"/>
      <c r="B372" s="606"/>
      <c r="C372" s="606"/>
      <c r="D372" s="607"/>
      <c r="E372" s="608"/>
      <c r="F372" s="609"/>
      <c r="G372" s="647"/>
      <c r="H372" s="642"/>
      <c r="I372" s="131"/>
      <c r="J372" s="131"/>
      <c r="K372" s="1037"/>
      <c r="L372" s="1088" t="s">
        <v>210</v>
      </c>
      <c r="M372" s="1064"/>
      <c r="N372" s="1064" t="s">
        <v>243</v>
      </c>
      <c r="O372" s="1074">
        <f>'사. 임직원보수 일람표'!K85</f>
        <v>13440</v>
      </c>
      <c r="P372" s="1069" t="s">
        <v>744</v>
      </c>
      <c r="Q372" s="1072">
        <v>40</v>
      </c>
      <c r="R372" s="1069" t="s">
        <v>744</v>
      </c>
      <c r="S372" s="1070">
        <v>1</v>
      </c>
      <c r="T372" s="1071" t="s">
        <v>410</v>
      </c>
      <c r="U372" s="1090">
        <f t="shared" si="16"/>
        <v>537600</v>
      </c>
      <c r="AF372" s="1011">
        <f>'사. 임직원보수 일람표'!L85</f>
        <v>537600</v>
      </c>
      <c r="AG372" s="1011">
        <f t="shared" si="17"/>
        <v>0</v>
      </c>
    </row>
    <row r="373" spans="1:33" ht="21.75" hidden="1" customHeight="1">
      <c r="A373" s="605"/>
      <c r="B373" s="606"/>
      <c r="C373" s="606"/>
      <c r="D373" s="607"/>
      <c r="E373" s="608"/>
      <c r="F373" s="609"/>
      <c r="G373" s="647"/>
      <c r="H373" s="642"/>
      <c r="I373" s="131"/>
      <c r="J373" s="131"/>
      <c r="K373" s="1037"/>
      <c r="L373" s="1088" t="s">
        <v>210</v>
      </c>
      <c r="M373" s="1064"/>
      <c r="N373" s="1064" t="s">
        <v>243</v>
      </c>
      <c r="O373" s="1074">
        <f>'사. 임직원보수 일람표'!K86</f>
        <v>13840</v>
      </c>
      <c r="P373" s="1069" t="s">
        <v>744</v>
      </c>
      <c r="Q373" s="1072">
        <v>40</v>
      </c>
      <c r="R373" s="1069" t="s">
        <v>744</v>
      </c>
      <c r="S373" s="1070">
        <v>11</v>
      </c>
      <c r="T373" s="1071" t="s">
        <v>410</v>
      </c>
      <c r="U373" s="1090">
        <f t="shared" si="16"/>
        <v>6089600</v>
      </c>
      <c r="Z373" s="1010">
        <f>SUM(U362:U373)</f>
        <v>37669000</v>
      </c>
      <c r="AF373" s="1011">
        <f>'사. 임직원보수 일람표'!L86</f>
        <v>6089600</v>
      </c>
      <c r="AG373" s="1011">
        <f t="shared" si="17"/>
        <v>0</v>
      </c>
    </row>
    <row r="374" spans="1:33" ht="21.75" hidden="1" customHeight="1">
      <c r="A374" s="605"/>
      <c r="B374" s="606"/>
      <c r="C374" s="606"/>
      <c r="D374" s="607"/>
      <c r="E374" s="608"/>
      <c r="F374" s="609"/>
      <c r="G374" s="647"/>
      <c r="H374" s="642"/>
      <c r="I374" s="131"/>
      <c r="J374" s="131"/>
      <c r="K374" s="1037"/>
      <c r="L374" s="1088" t="s">
        <v>210</v>
      </c>
      <c r="M374" s="1064"/>
      <c r="N374" s="1064" t="s">
        <v>244</v>
      </c>
      <c r="O374" s="1074">
        <f>'사. 임직원보수 일람표'!K88</f>
        <v>14260</v>
      </c>
      <c r="P374" s="1069"/>
      <c r="Q374" s="1072">
        <v>40</v>
      </c>
      <c r="R374" s="1069" t="s">
        <v>744</v>
      </c>
      <c r="S374" s="1070">
        <v>11</v>
      </c>
      <c r="T374" s="1071" t="s">
        <v>410</v>
      </c>
      <c r="U374" s="1090">
        <f t="shared" si="16"/>
        <v>6274400</v>
      </c>
      <c r="Z374" s="1010"/>
      <c r="AF374" s="1011">
        <f>'사. 임직원보수 일람표'!L88</f>
        <v>6274400</v>
      </c>
      <c r="AG374" s="1011">
        <f t="shared" si="17"/>
        <v>0</v>
      </c>
    </row>
    <row r="375" spans="1:33" ht="21.75" hidden="1" customHeight="1">
      <c r="A375" s="605"/>
      <c r="B375" s="606"/>
      <c r="C375" s="606"/>
      <c r="D375" s="607"/>
      <c r="E375" s="608"/>
      <c r="F375" s="609"/>
      <c r="G375" s="647"/>
      <c r="H375" s="642"/>
      <c r="I375" s="131"/>
      <c r="J375" s="131"/>
      <c r="K375" s="1037"/>
      <c r="L375" s="1088" t="s">
        <v>210</v>
      </c>
      <c r="M375" s="1064"/>
      <c r="N375" s="1064" t="s">
        <v>245</v>
      </c>
      <c r="O375" s="1074">
        <f>'사. 임직원보수 일람표'!K90</f>
        <v>15610</v>
      </c>
      <c r="P375" s="1069"/>
      <c r="Q375" s="1072">
        <v>40</v>
      </c>
      <c r="R375" s="1069" t="s">
        <v>744</v>
      </c>
      <c r="S375" s="1070">
        <v>9</v>
      </c>
      <c r="T375" s="1071" t="s">
        <v>410</v>
      </c>
      <c r="U375" s="1090">
        <f t="shared" si="16"/>
        <v>5619600</v>
      </c>
      <c r="Z375" s="1010"/>
      <c r="AF375" s="1011">
        <f>'사. 임직원보수 일람표'!L90</f>
        <v>5619600</v>
      </c>
      <c r="AG375" s="1011">
        <f t="shared" si="17"/>
        <v>0</v>
      </c>
    </row>
    <row r="376" spans="1:33" ht="21.75" hidden="1" customHeight="1">
      <c r="A376" s="605"/>
      <c r="B376" s="606"/>
      <c r="C376" s="606"/>
      <c r="D376" s="607"/>
      <c r="E376" s="608"/>
      <c r="F376" s="609"/>
      <c r="G376" s="647"/>
      <c r="H376" s="642"/>
      <c r="I376" s="131"/>
      <c r="J376" s="131"/>
      <c r="K376" s="1037"/>
      <c r="L376" s="1088" t="s">
        <v>210</v>
      </c>
      <c r="M376" s="1064"/>
      <c r="N376" s="1064" t="s">
        <v>246</v>
      </c>
      <c r="O376" s="1074">
        <f>'사. 임직원보수 일람표'!K91</f>
        <v>15140</v>
      </c>
      <c r="P376" s="1069" t="s">
        <v>744</v>
      </c>
      <c r="Q376" s="1072">
        <v>40</v>
      </c>
      <c r="R376" s="1069" t="s">
        <v>744</v>
      </c>
      <c r="S376" s="1070">
        <v>2</v>
      </c>
      <c r="T376" s="1071" t="s">
        <v>410</v>
      </c>
      <c r="U376" s="1090">
        <f t="shared" si="16"/>
        <v>1211200</v>
      </c>
      <c r="Z376" s="1010"/>
      <c r="AF376" s="1011">
        <f>'사. 임직원보수 일람표'!L91</f>
        <v>1211200</v>
      </c>
      <c r="AG376" s="1011">
        <f t="shared" si="17"/>
        <v>0</v>
      </c>
    </row>
    <row r="377" spans="1:33" ht="21.75" hidden="1" customHeight="1">
      <c r="A377" s="605"/>
      <c r="B377" s="606"/>
      <c r="C377" s="606"/>
      <c r="D377" s="607"/>
      <c r="E377" s="608"/>
      <c r="F377" s="609"/>
      <c r="G377" s="647"/>
      <c r="H377" s="642"/>
      <c r="I377" s="131"/>
      <c r="J377" s="131"/>
      <c r="K377" s="1037"/>
      <c r="L377" s="1088" t="s">
        <v>210</v>
      </c>
      <c r="M377" s="1064"/>
      <c r="N377" s="1064" t="s">
        <v>246</v>
      </c>
      <c r="O377" s="1074">
        <f>'사. 임직원보수 일람표'!K92</f>
        <v>15610</v>
      </c>
      <c r="P377" s="1069" t="s">
        <v>744</v>
      </c>
      <c r="Q377" s="1072">
        <v>40</v>
      </c>
      <c r="R377" s="1069" t="s">
        <v>744</v>
      </c>
      <c r="S377" s="1070">
        <v>7</v>
      </c>
      <c r="T377" s="1071" t="s">
        <v>410</v>
      </c>
      <c r="U377" s="1090">
        <f t="shared" si="16"/>
        <v>4370800</v>
      </c>
      <c r="Z377" s="1010"/>
      <c r="AF377" s="1011">
        <f>'사. 임직원보수 일람표'!L92</f>
        <v>4370800</v>
      </c>
      <c r="AG377" s="1011">
        <f t="shared" si="17"/>
        <v>0</v>
      </c>
    </row>
    <row r="378" spans="1:33" ht="21.75" hidden="1" customHeight="1">
      <c r="A378" s="605"/>
      <c r="B378" s="606"/>
      <c r="C378" s="606"/>
      <c r="D378" s="607"/>
      <c r="E378" s="608"/>
      <c r="F378" s="609"/>
      <c r="G378" s="647"/>
      <c r="H378" s="642"/>
      <c r="I378" s="131"/>
      <c r="J378" s="131"/>
      <c r="K378" s="1037"/>
      <c r="L378" s="1088" t="s">
        <v>210</v>
      </c>
      <c r="M378" s="1064"/>
      <c r="N378" s="1064" t="s">
        <v>247</v>
      </c>
      <c r="O378" s="1074">
        <f>'사. 임직원보수 일람표'!K93</f>
        <v>14260</v>
      </c>
      <c r="P378" s="1069" t="s">
        <v>744</v>
      </c>
      <c r="Q378" s="1072">
        <v>40</v>
      </c>
      <c r="R378" s="1069" t="s">
        <v>744</v>
      </c>
      <c r="S378" s="1070">
        <v>4</v>
      </c>
      <c r="T378" s="1071" t="s">
        <v>410</v>
      </c>
      <c r="U378" s="1090">
        <f t="shared" si="16"/>
        <v>2281600</v>
      </c>
      <c r="Z378" s="1010"/>
      <c r="AF378" s="1011">
        <f>'사. 임직원보수 일람표'!L93</f>
        <v>2281600</v>
      </c>
      <c r="AG378" s="1011">
        <f t="shared" si="17"/>
        <v>0</v>
      </c>
    </row>
    <row r="379" spans="1:33" ht="21.75" hidden="1" customHeight="1">
      <c r="A379" s="605"/>
      <c r="B379" s="606"/>
      <c r="C379" s="606"/>
      <c r="D379" s="607"/>
      <c r="E379" s="608"/>
      <c r="F379" s="609"/>
      <c r="G379" s="647"/>
      <c r="H379" s="642"/>
      <c r="I379" s="131"/>
      <c r="J379" s="131"/>
      <c r="K379" s="1037"/>
      <c r="L379" s="1088" t="s">
        <v>210</v>
      </c>
      <c r="M379" s="1064"/>
      <c r="N379" s="1064" t="s">
        <v>247</v>
      </c>
      <c r="O379" s="1074">
        <f>'사. 임직원보수 일람표'!K94</f>
        <v>14690</v>
      </c>
      <c r="P379" s="1069" t="s">
        <v>744</v>
      </c>
      <c r="Q379" s="1072">
        <v>40</v>
      </c>
      <c r="R379" s="1069" t="s">
        <v>744</v>
      </c>
      <c r="S379" s="1070">
        <v>5</v>
      </c>
      <c r="T379" s="1071" t="s">
        <v>410</v>
      </c>
      <c r="U379" s="1090">
        <f t="shared" si="16"/>
        <v>2938000</v>
      </c>
      <c r="Z379" s="1010"/>
      <c r="AF379" s="1011">
        <f>'사. 임직원보수 일람표'!L94</f>
        <v>2938000</v>
      </c>
      <c r="AG379" s="1011">
        <f t="shared" si="17"/>
        <v>0</v>
      </c>
    </row>
    <row r="380" spans="1:33" ht="21.75" hidden="1" customHeight="1">
      <c r="A380" s="605"/>
      <c r="B380" s="606"/>
      <c r="C380" s="606"/>
      <c r="D380" s="607"/>
      <c r="E380" s="608"/>
      <c r="F380" s="609"/>
      <c r="G380" s="647"/>
      <c r="H380" s="642"/>
      <c r="I380" s="131"/>
      <c r="J380" s="131"/>
      <c r="K380" s="1037"/>
      <c r="L380" s="1088" t="s">
        <v>210</v>
      </c>
      <c r="M380" s="1064"/>
      <c r="N380" s="1064" t="s">
        <v>248</v>
      </c>
      <c r="O380" s="1074">
        <f>'사. 임직원보수 일람표'!K96</f>
        <v>14690</v>
      </c>
      <c r="P380" s="1069" t="s">
        <v>744</v>
      </c>
      <c r="Q380" s="1072">
        <v>40</v>
      </c>
      <c r="R380" s="1069" t="s">
        <v>744</v>
      </c>
      <c r="S380" s="1070">
        <v>8</v>
      </c>
      <c r="T380" s="1071" t="s">
        <v>410</v>
      </c>
      <c r="U380" s="1090">
        <f t="shared" si="16"/>
        <v>4700800</v>
      </c>
      <c r="Z380" s="1010"/>
      <c r="AF380" s="1011">
        <f>'사. 임직원보수 일람표'!L96</f>
        <v>4700800</v>
      </c>
      <c r="AG380" s="1011">
        <f t="shared" si="17"/>
        <v>0</v>
      </c>
    </row>
    <row r="381" spans="1:33" ht="21.75" hidden="1" customHeight="1">
      <c r="A381" s="605"/>
      <c r="B381" s="606"/>
      <c r="C381" s="606"/>
      <c r="D381" s="607"/>
      <c r="E381" s="608"/>
      <c r="F381" s="609"/>
      <c r="G381" s="647"/>
      <c r="H381" s="642"/>
      <c r="I381" s="131"/>
      <c r="J381" s="131"/>
      <c r="K381" s="1037"/>
      <c r="L381" s="1088" t="s">
        <v>210</v>
      </c>
      <c r="M381" s="1064"/>
      <c r="N381" s="1064" t="s">
        <v>249</v>
      </c>
      <c r="O381" s="1074">
        <f>'사. 임직원보수 일람표'!K97</f>
        <v>15610</v>
      </c>
      <c r="P381" s="1069" t="s">
        <v>744</v>
      </c>
      <c r="Q381" s="1072">
        <v>40</v>
      </c>
      <c r="R381" s="1069" t="s">
        <v>744</v>
      </c>
      <c r="S381" s="1070">
        <v>5</v>
      </c>
      <c r="T381" s="1071" t="s">
        <v>410</v>
      </c>
      <c r="U381" s="1090">
        <f t="shared" si="16"/>
        <v>3122000</v>
      </c>
      <c r="Z381" s="1010"/>
      <c r="AF381" s="1011">
        <f>'사. 임직원보수 일람표'!L97</f>
        <v>3122000</v>
      </c>
      <c r="AG381" s="1011">
        <f t="shared" si="17"/>
        <v>0</v>
      </c>
    </row>
    <row r="382" spans="1:33" ht="21.75" hidden="1" customHeight="1">
      <c r="A382" s="605"/>
      <c r="B382" s="606"/>
      <c r="C382" s="606"/>
      <c r="D382" s="607"/>
      <c r="E382" s="608"/>
      <c r="F382" s="609"/>
      <c r="G382" s="647"/>
      <c r="H382" s="642"/>
      <c r="I382" s="131"/>
      <c r="J382" s="131"/>
      <c r="K382" s="1037"/>
      <c r="L382" s="1088" t="s">
        <v>210</v>
      </c>
      <c r="M382" s="1064"/>
      <c r="N382" s="1064" t="s">
        <v>249</v>
      </c>
      <c r="O382" s="1074">
        <f>'사. 임직원보수 일람표'!K98</f>
        <v>16080</v>
      </c>
      <c r="P382" s="1069" t="s">
        <v>744</v>
      </c>
      <c r="Q382" s="1072">
        <v>40</v>
      </c>
      <c r="R382" s="1069" t="s">
        <v>744</v>
      </c>
      <c r="S382" s="1070">
        <v>3</v>
      </c>
      <c r="T382" s="1071" t="s">
        <v>410</v>
      </c>
      <c r="U382" s="1090">
        <f t="shared" si="16"/>
        <v>1929600</v>
      </c>
      <c r="Z382" s="1010"/>
      <c r="AF382" s="1011">
        <f>'사. 임직원보수 일람표'!L98</f>
        <v>1929600</v>
      </c>
      <c r="AG382" s="1011">
        <f t="shared" si="17"/>
        <v>0</v>
      </c>
    </row>
    <row r="383" spans="1:33" ht="21.75" hidden="1" customHeight="1">
      <c r="A383" s="605"/>
      <c r="B383" s="606"/>
      <c r="C383" s="606"/>
      <c r="D383" s="607"/>
      <c r="E383" s="608"/>
      <c r="F383" s="609"/>
      <c r="G383" s="647"/>
      <c r="H383" s="642"/>
      <c r="I383" s="131"/>
      <c r="J383" s="131"/>
      <c r="K383" s="1037"/>
      <c r="L383" s="1088" t="s">
        <v>210</v>
      </c>
      <c r="M383" s="1064"/>
      <c r="N383" s="1064" t="s">
        <v>277</v>
      </c>
      <c r="O383" s="1074">
        <f>'사. 임직원보수 일람표'!K99</f>
        <v>13840</v>
      </c>
      <c r="P383" s="1069" t="s">
        <v>744</v>
      </c>
      <c r="Q383" s="1072">
        <v>40</v>
      </c>
      <c r="R383" s="1069" t="s">
        <v>744</v>
      </c>
      <c r="S383" s="1070">
        <v>6</v>
      </c>
      <c r="T383" s="1071" t="s">
        <v>410</v>
      </c>
      <c r="U383" s="1090">
        <f t="shared" si="16"/>
        <v>3321600</v>
      </c>
      <c r="Z383" s="1010"/>
      <c r="AF383" s="1011">
        <f>'사. 임직원보수 일람표'!L99</f>
        <v>3321600</v>
      </c>
      <c r="AG383" s="1011">
        <f t="shared" si="17"/>
        <v>0</v>
      </c>
    </row>
    <row r="384" spans="1:33" ht="21.75" hidden="1" customHeight="1">
      <c r="A384" s="605"/>
      <c r="B384" s="606"/>
      <c r="C384" s="606"/>
      <c r="D384" s="607"/>
      <c r="E384" s="608"/>
      <c r="F384" s="609"/>
      <c r="G384" s="647"/>
      <c r="H384" s="642"/>
      <c r="I384" s="131"/>
      <c r="J384" s="131"/>
      <c r="K384" s="1037"/>
      <c r="L384" s="1088" t="s">
        <v>210</v>
      </c>
      <c r="M384" s="1064"/>
      <c r="N384" s="1064" t="s">
        <v>278</v>
      </c>
      <c r="O384" s="1074">
        <f>'사. 임직원보수 일람표'!K101</f>
        <v>15610</v>
      </c>
      <c r="P384" s="1069" t="s">
        <v>744</v>
      </c>
      <c r="Q384" s="1072">
        <v>40</v>
      </c>
      <c r="R384" s="1069" t="s">
        <v>744</v>
      </c>
      <c r="S384" s="1070">
        <v>5</v>
      </c>
      <c r="T384" s="1071" t="s">
        <v>410</v>
      </c>
      <c r="U384" s="1090">
        <f t="shared" si="16"/>
        <v>3122000</v>
      </c>
      <c r="Z384" s="1010"/>
      <c r="AF384" s="1011">
        <f>'사. 임직원보수 일람표'!L101</f>
        <v>3122000</v>
      </c>
      <c r="AG384" s="1011">
        <f t="shared" si="17"/>
        <v>0</v>
      </c>
    </row>
    <row r="385" spans="1:33" ht="21.75" hidden="1" customHeight="1">
      <c r="A385" s="605"/>
      <c r="B385" s="606"/>
      <c r="C385" s="606"/>
      <c r="D385" s="607"/>
      <c r="E385" s="608"/>
      <c r="F385" s="609"/>
      <c r="G385" s="647"/>
      <c r="H385" s="642"/>
      <c r="I385" s="131"/>
      <c r="J385" s="131"/>
      <c r="K385" s="1037"/>
      <c r="L385" s="1088" t="s">
        <v>210</v>
      </c>
      <c r="M385" s="1064"/>
      <c r="N385" s="1064" t="s">
        <v>271</v>
      </c>
      <c r="O385" s="1074">
        <f>'사. 임직원보수 일람표'!K103</f>
        <v>17890</v>
      </c>
      <c r="P385" s="1069" t="s">
        <v>744</v>
      </c>
      <c r="Q385" s="1072">
        <v>40</v>
      </c>
      <c r="R385" s="1069" t="s">
        <v>744</v>
      </c>
      <c r="S385" s="1070">
        <v>2</v>
      </c>
      <c r="T385" s="1071" t="s">
        <v>410</v>
      </c>
      <c r="U385" s="1090">
        <f t="shared" si="16"/>
        <v>1431200</v>
      </c>
      <c r="Z385" s="1010"/>
      <c r="AF385" s="1011">
        <f>'사. 임직원보수 일람표'!L103</f>
        <v>1431200</v>
      </c>
      <c r="AG385" s="1011">
        <f t="shared" si="17"/>
        <v>0</v>
      </c>
    </row>
    <row r="386" spans="1:33" ht="21.75" hidden="1" customHeight="1">
      <c r="A386" s="605"/>
      <c r="B386" s="606"/>
      <c r="C386" s="606"/>
      <c r="D386" s="607"/>
      <c r="E386" s="608"/>
      <c r="F386" s="609"/>
      <c r="G386" s="647"/>
      <c r="H386" s="642"/>
      <c r="I386" s="131"/>
      <c r="J386" s="131"/>
      <c r="K386" s="1037"/>
      <c r="L386" s="1088" t="s">
        <v>210</v>
      </c>
      <c r="M386" s="1064"/>
      <c r="N386" s="1064" t="s">
        <v>272</v>
      </c>
      <c r="O386" s="1074">
        <f>'사. 임직원보수 일람표'!K105</f>
        <v>19260</v>
      </c>
      <c r="P386" s="1069" t="s">
        <v>744</v>
      </c>
      <c r="Q386" s="1072">
        <v>40</v>
      </c>
      <c r="R386" s="1069" t="s">
        <v>744</v>
      </c>
      <c r="S386" s="1070">
        <v>1</v>
      </c>
      <c r="T386" s="1071" t="s">
        <v>410</v>
      </c>
      <c r="U386" s="1090">
        <f t="shared" si="16"/>
        <v>770400</v>
      </c>
      <c r="Z386" s="1010"/>
      <c r="AF386" s="1011">
        <f>'사. 임직원보수 일람표'!L105</f>
        <v>770400</v>
      </c>
      <c r="AG386" s="1011">
        <f t="shared" si="17"/>
        <v>0</v>
      </c>
    </row>
    <row r="387" spans="1:33" ht="21.75" hidden="1" customHeight="1">
      <c r="A387" s="605"/>
      <c r="B387" s="606"/>
      <c r="C387" s="606"/>
      <c r="D387" s="607"/>
      <c r="E387" s="608"/>
      <c r="F387" s="609"/>
      <c r="G387" s="647"/>
      <c r="H387" s="642"/>
      <c r="I387" s="131"/>
      <c r="J387" s="131"/>
      <c r="K387" s="1037"/>
      <c r="L387" s="1088" t="s">
        <v>210</v>
      </c>
      <c r="M387" s="1064"/>
      <c r="N387" s="1064" t="s">
        <v>273</v>
      </c>
      <c r="O387" s="1074">
        <f>'사. 임직원보수 일람표'!K107</f>
        <v>15610</v>
      </c>
      <c r="P387" s="1069" t="s">
        <v>744</v>
      </c>
      <c r="Q387" s="1072">
        <v>40</v>
      </c>
      <c r="R387" s="1069" t="s">
        <v>744</v>
      </c>
      <c r="S387" s="1070">
        <v>2</v>
      </c>
      <c r="T387" s="1071" t="s">
        <v>410</v>
      </c>
      <c r="U387" s="1090">
        <f t="shared" si="16"/>
        <v>1248800</v>
      </c>
      <c r="Z387" s="1010"/>
      <c r="AF387" s="1011">
        <f>'사. 임직원보수 일람표'!L107</f>
        <v>1248800</v>
      </c>
      <c r="AG387" s="1011">
        <f t="shared" si="17"/>
        <v>0</v>
      </c>
    </row>
    <row r="388" spans="1:33" ht="21.75" hidden="1" customHeight="1">
      <c r="A388" s="605"/>
      <c r="B388" s="606"/>
      <c r="C388" s="606"/>
      <c r="D388" s="607"/>
      <c r="E388" s="608"/>
      <c r="F388" s="609"/>
      <c r="G388" s="647"/>
      <c r="H388" s="642"/>
      <c r="I388" s="131"/>
      <c r="J388" s="131"/>
      <c r="K388" s="1037"/>
      <c r="L388" s="1088" t="s">
        <v>210</v>
      </c>
      <c r="M388" s="1064"/>
      <c r="N388" s="1064" t="s">
        <v>274</v>
      </c>
      <c r="O388" s="1074">
        <f>'사. 임직원보수 일람표'!K109</f>
        <v>13440</v>
      </c>
      <c r="P388" s="1069" t="s">
        <v>744</v>
      </c>
      <c r="Q388" s="1072">
        <v>40</v>
      </c>
      <c r="R388" s="1069" t="s">
        <v>744</v>
      </c>
      <c r="S388" s="1070">
        <v>1</v>
      </c>
      <c r="T388" s="1071" t="s">
        <v>410</v>
      </c>
      <c r="U388" s="1090">
        <f t="shared" si="16"/>
        <v>537600</v>
      </c>
      <c r="Z388" s="1010"/>
      <c r="AF388" s="1011">
        <f>'사. 임직원보수 일람표'!L109</f>
        <v>537600</v>
      </c>
      <c r="AG388" s="1011">
        <f t="shared" si="17"/>
        <v>0</v>
      </c>
    </row>
    <row r="389" spans="1:33" ht="21.75" hidden="1" customHeight="1">
      <c r="A389" s="605"/>
      <c r="B389" s="606"/>
      <c r="C389" s="606"/>
      <c r="D389" s="607"/>
      <c r="E389" s="608"/>
      <c r="F389" s="609"/>
      <c r="G389" s="647"/>
      <c r="H389" s="642"/>
      <c r="I389" s="131"/>
      <c r="J389" s="131"/>
      <c r="K389" s="1037"/>
      <c r="L389" s="1088" t="s">
        <v>251</v>
      </c>
      <c r="M389" s="1064"/>
      <c r="N389" s="1064" t="s">
        <v>250</v>
      </c>
      <c r="O389" s="1074">
        <f>'사. 임직원보수 일람표'!K111</f>
        <v>16210</v>
      </c>
      <c r="P389" s="1069" t="s">
        <v>744</v>
      </c>
      <c r="Q389" s="1072">
        <v>20</v>
      </c>
      <c r="R389" s="1069" t="s">
        <v>744</v>
      </c>
      <c r="S389" s="1070">
        <v>8</v>
      </c>
      <c r="T389" s="1071" t="s">
        <v>410</v>
      </c>
      <c r="U389" s="1090">
        <f t="shared" si="16"/>
        <v>2593600</v>
      </c>
      <c r="Z389" s="1010"/>
      <c r="AF389" s="1011">
        <f>'사. 임직원보수 일람표'!L111</f>
        <v>2593600</v>
      </c>
      <c r="AG389" s="1011">
        <f t="shared" si="17"/>
        <v>0</v>
      </c>
    </row>
    <row r="390" spans="1:33" ht="21.75" hidden="1" customHeight="1">
      <c r="A390" s="605"/>
      <c r="B390" s="606"/>
      <c r="C390" s="606"/>
      <c r="D390" s="607"/>
      <c r="E390" s="608"/>
      <c r="F390" s="609"/>
      <c r="G390" s="647"/>
      <c r="H390" s="642"/>
      <c r="I390" s="131"/>
      <c r="J390" s="131"/>
      <c r="K390" s="1037"/>
      <c r="L390" s="1088" t="s">
        <v>251</v>
      </c>
      <c r="M390" s="1064"/>
      <c r="N390" s="1064" t="s">
        <v>250</v>
      </c>
      <c r="O390" s="1074">
        <f>'사. 임직원보수 일람표'!K112</f>
        <v>16550</v>
      </c>
      <c r="P390" s="1069" t="s">
        <v>744</v>
      </c>
      <c r="Q390" s="1072">
        <v>20</v>
      </c>
      <c r="R390" s="1069" t="s">
        <v>744</v>
      </c>
      <c r="S390" s="1070">
        <v>4</v>
      </c>
      <c r="T390" s="1071" t="s">
        <v>410</v>
      </c>
      <c r="U390" s="1090">
        <f t="shared" si="16"/>
        <v>1324000</v>
      </c>
      <c r="Z390" s="1010"/>
      <c r="AF390" s="1011">
        <f>'사. 임직원보수 일람표'!L112</f>
        <v>1324000</v>
      </c>
      <c r="AG390" s="1011">
        <f t="shared" si="17"/>
        <v>0</v>
      </c>
    </row>
    <row r="391" spans="1:33" ht="21.75" hidden="1" customHeight="1">
      <c r="A391" s="605"/>
      <c r="B391" s="606"/>
      <c r="C391" s="606"/>
      <c r="D391" s="607"/>
      <c r="E391" s="608"/>
      <c r="F391" s="609"/>
      <c r="G391" s="647"/>
      <c r="H391" s="642"/>
      <c r="I391" s="131"/>
      <c r="J391" s="131"/>
      <c r="K391" s="1037"/>
      <c r="L391" s="1088" t="s">
        <v>252</v>
      </c>
      <c r="M391" s="1064"/>
      <c r="N391" s="1064" t="s">
        <v>253</v>
      </c>
      <c r="O391" s="1074">
        <f>'사. 임직원보수 일람표'!K113</f>
        <v>12890</v>
      </c>
      <c r="P391" s="1069" t="s">
        <v>744</v>
      </c>
      <c r="Q391" s="1072">
        <v>40</v>
      </c>
      <c r="R391" s="1069" t="s">
        <v>744</v>
      </c>
      <c r="S391" s="1070">
        <v>12</v>
      </c>
      <c r="T391" s="1071" t="s">
        <v>410</v>
      </c>
      <c r="U391" s="1090">
        <f t="shared" si="16"/>
        <v>6187200</v>
      </c>
      <c r="Z391" s="1010"/>
      <c r="AF391" s="1011">
        <f>'사. 임직원보수 일람표'!L113</f>
        <v>6187200</v>
      </c>
      <c r="AG391" s="1011">
        <f t="shared" si="17"/>
        <v>0</v>
      </c>
    </row>
    <row r="392" spans="1:33" ht="21.75" hidden="1" customHeight="1">
      <c r="A392" s="605"/>
      <c r="B392" s="606"/>
      <c r="C392" s="606"/>
      <c r="D392" s="607"/>
      <c r="E392" s="608"/>
      <c r="F392" s="609"/>
      <c r="G392" s="647"/>
      <c r="H392" s="642"/>
      <c r="I392" s="131"/>
      <c r="J392" s="131"/>
      <c r="K392" s="1037"/>
      <c r="L392" s="1088" t="s">
        <v>252</v>
      </c>
      <c r="M392" s="1064"/>
      <c r="N392" s="1064" t="s">
        <v>254</v>
      </c>
      <c r="O392" s="1074">
        <f>'사. 임직원보수 일람표'!K115</f>
        <v>14710</v>
      </c>
      <c r="P392" s="1069" t="s">
        <v>744</v>
      </c>
      <c r="Q392" s="1072">
        <v>40</v>
      </c>
      <c r="R392" s="1069" t="s">
        <v>744</v>
      </c>
      <c r="S392" s="1070">
        <v>2</v>
      </c>
      <c r="T392" s="1071" t="s">
        <v>410</v>
      </c>
      <c r="U392" s="1090">
        <f t="shared" si="16"/>
        <v>1176800</v>
      </c>
      <c r="Z392" s="1010"/>
      <c r="AF392" s="1011">
        <f>'사. 임직원보수 일람표'!L115</f>
        <v>1176800</v>
      </c>
      <c r="AG392" s="1011">
        <f t="shared" si="17"/>
        <v>0</v>
      </c>
    </row>
    <row r="393" spans="1:33" ht="21.75" hidden="1" customHeight="1">
      <c r="A393" s="605"/>
      <c r="B393" s="606"/>
      <c r="C393" s="606"/>
      <c r="D393" s="607"/>
      <c r="E393" s="608"/>
      <c r="F393" s="609"/>
      <c r="G393" s="647"/>
      <c r="H393" s="642"/>
      <c r="I393" s="131"/>
      <c r="J393" s="131"/>
      <c r="K393" s="1037"/>
      <c r="L393" s="1088" t="s">
        <v>252</v>
      </c>
      <c r="M393" s="1064"/>
      <c r="N393" s="1064" t="s">
        <v>254</v>
      </c>
      <c r="O393" s="1074">
        <f>'사. 임직원보수 일람표'!K116</f>
        <v>15010</v>
      </c>
      <c r="P393" s="1069" t="s">
        <v>744</v>
      </c>
      <c r="Q393" s="1072">
        <v>40</v>
      </c>
      <c r="R393" s="1069" t="s">
        <v>744</v>
      </c>
      <c r="S393" s="1070">
        <v>10</v>
      </c>
      <c r="T393" s="1071" t="s">
        <v>410</v>
      </c>
      <c r="U393" s="1090">
        <f t="shared" si="16"/>
        <v>6004000</v>
      </c>
      <c r="Z393" s="1010"/>
      <c r="AF393" s="1011">
        <f>'사. 임직원보수 일람표'!L116</f>
        <v>6004000</v>
      </c>
      <c r="AG393" s="1011">
        <f t="shared" si="17"/>
        <v>0</v>
      </c>
    </row>
    <row r="394" spans="1:33" ht="21.75" hidden="1" customHeight="1">
      <c r="A394" s="605"/>
      <c r="B394" s="606"/>
      <c r="C394" s="606"/>
      <c r="D394" s="607"/>
      <c r="E394" s="608"/>
      <c r="F394" s="609"/>
      <c r="G394" s="647"/>
      <c r="H394" s="642"/>
      <c r="I394" s="131"/>
      <c r="J394" s="131"/>
      <c r="K394" s="1037"/>
      <c r="L394" s="1088" t="s">
        <v>252</v>
      </c>
      <c r="M394" s="1064"/>
      <c r="N394" s="1064" t="s">
        <v>266</v>
      </c>
      <c r="O394" s="1074">
        <f>'사. 임직원보수 일람표'!K117</f>
        <v>12890</v>
      </c>
      <c r="P394" s="1069" t="s">
        <v>744</v>
      </c>
      <c r="Q394" s="1072">
        <v>40</v>
      </c>
      <c r="R394" s="1069" t="s">
        <v>744</v>
      </c>
      <c r="S394" s="1070">
        <v>6</v>
      </c>
      <c r="T394" s="1071" t="s">
        <v>410</v>
      </c>
      <c r="U394" s="1090">
        <f t="shared" ref="U394:U418" si="18">O394*Q394*S394</f>
        <v>3093600</v>
      </c>
      <c r="Z394" s="1010"/>
      <c r="AF394" s="1011">
        <f>'사. 임직원보수 일람표'!L117</f>
        <v>3093600</v>
      </c>
      <c r="AG394" s="1011">
        <f t="shared" ref="AG394:AG418" si="19">U394-AF394</f>
        <v>0</v>
      </c>
    </row>
    <row r="395" spans="1:33" ht="21.75" hidden="1" customHeight="1">
      <c r="A395" s="605"/>
      <c r="B395" s="606"/>
      <c r="C395" s="606"/>
      <c r="D395" s="607"/>
      <c r="E395" s="608"/>
      <c r="F395" s="609"/>
      <c r="G395" s="647"/>
      <c r="H395" s="642"/>
      <c r="I395" s="131"/>
      <c r="J395" s="131"/>
      <c r="K395" s="1037"/>
      <c r="L395" s="1088" t="s">
        <v>252</v>
      </c>
      <c r="M395" s="1064"/>
      <c r="N395" s="1064" t="s">
        <v>255</v>
      </c>
      <c r="O395" s="1074">
        <f>'사. 임직원보수 일람표'!K119</f>
        <v>14120</v>
      </c>
      <c r="P395" s="1069" t="s">
        <v>744</v>
      </c>
      <c r="Q395" s="1072">
        <v>40</v>
      </c>
      <c r="R395" s="1069" t="s">
        <v>744</v>
      </c>
      <c r="S395" s="1070">
        <v>6</v>
      </c>
      <c r="T395" s="1071" t="s">
        <v>410</v>
      </c>
      <c r="U395" s="1090">
        <f t="shared" si="18"/>
        <v>3388800</v>
      </c>
      <c r="Z395" s="1010"/>
      <c r="AF395" s="1011">
        <f>'사. 임직원보수 일람표'!L119</f>
        <v>3388800</v>
      </c>
      <c r="AG395" s="1011">
        <f t="shared" si="19"/>
        <v>0</v>
      </c>
    </row>
    <row r="396" spans="1:33" ht="21.75" hidden="1" customHeight="1">
      <c r="A396" s="605"/>
      <c r="B396" s="606"/>
      <c r="C396" s="606"/>
      <c r="D396" s="607"/>
      <c r="E396" s="608"/>
      <c r="F396" s="609"/>
      <c r="G396" s="647"/>
      <c r="H396" s="642"/>
      <c r="I396" s="131"/>
      <c r="J396" s="131"/>
      <c r="K396" s="1037"/>
      <c r="L396" s="1088" t="s">
        <v>210</v>
      </c>
      <c r="M396" s="1075" t="s">
        <v>894</v>
      </c>
      <c r="N396" s="1064" t="s">
        <v>364</v>
      </c>
      <c r="O396" s="1009">
        <f>'사. 임직원보수 일람표'!K130</f>
        <v>15610</v>
      </c>
      <c r="P396" s="1069" t="s">
        <v>744</v>
      </c>
      <c r="Q396" s="1072">
        <v>40</v>
      </c>
      <c r="R396" s="1069" t="s">
        <v>744</v>
      </c>
      <c r="S396" s="1070">
        <v>1</v>
      </c>
      <c r="T396" s="1071" t="s">
        <v>410</v>
      </c>
      <c r="U396" s="1090">
        <f t="shared" si="18"/>
        <v>624400</v>
      </c>
      <c r="Z396" s="1010"/>
      <c r="AF396" s="1011">
        <f>'사. 임직원보수 일람표'!L130</f>
        <v>624400</v>
      </c>
      <c r="AG396" s="1011">
        <f t="shared" si="19"/>
        <v>0</v>
      </c>
    </row>
    <row r="397" spans="1:33" ht="21.75" hidden="1" customHeight="1">
      <c r="A397" s="605"/>
      <c r="B397" s="606"/>
      <c r="C397" s="606"/>
      <c r="D397" s="607"/>
      <c r="E397" s="608"/>
      <c r="F397" s="609"/>
      <c r="G397" s="647"/>
      <c r="H397" s="642"/>
      <c r="I397" s="131"/>
      <c r="J397" s="131"/>
      <c r="K397" s="1037"/>
      <c r="L397" s="1088" t="s">
        <v>210</v>
      </c>
      <c r="M397" s="1075" t="s">
        <v>894</v>
      </c>
      <c r="N397" s="1064" t="s">
        <v>364</v>
      </c>
      <c r="O397" s="1009">
        <f>'사. 임직원보수 일람표'!K131</f>
        <v>16080</v>
      </c>
      <c r="P397" s="1069" t="s">
        <v>744</v>
      </c>
      <c r="Q397" s="1072">
        <v>40</v>
      </c>
      <c r="R397" s="1069" t="s">
        <v>744</v>
      </c>
      <c r="S397" s="1070">
        <v>11</v>
      </c>
      <c r="T397" s="1071" t="s">
        <v>410</v>
      </c>
      <c r="U397" s="1090">
        <f t="shared" si="18"/>
        <v>7075200</v>
      </c>
      <c r="Z397" s="1010"/>
      <c r="AF397" s="1011">
        <f>'사. 임직원보수 일람표'!L131</f>
        <v>7075200</v>
      </c>
      <c r="AG397" s="1011">
        <f t="shared" si="19"/>
        <v>0</v>
      </c>
    </row>
    <row r="398" spans="1:33" ht="21.75" hidden="1" customHeight="1">
      <c r="A398" s="605"/>
      <c r="B398" s="606"/>
      <c r="C398" s="606"/>
      <c r="D398" s="607"/>
      <c r="E398" s="608"/>
      <c r="F398" s="609"/>
      <c r="G398" s="647"/>
      <c r="H398" s="642"/>
      <c r="I398" s="131"/>
      <c r="J398" s="131"/>
      <c r="K398" s="1037"/>
      <c r="L398" s="1088" t="s">
        <v>252</v>
      </c>
      <c r="M398" s="1075" t="s">
        <v>894</v>
      </c>
      <c r="N398" s="1064" t="s">
        <v>365</v>
      </c>
      <c r="O398" s="1009">
        <f>'사. 임직원보수 일람표'!K132</f>
        <v>14120</v>
      </c>
      <c r="P398" s="1069" t="s">
        <v>744</v>
      </c>
      <c r="Q398" s="1072">
        <v>40</v>
      </c>
      <c r="R398" s="1069" t="s">
        <v>744</v>
      </c>
      <c r="S398" s="1070">
        <v>2</v>
      </c>
      <c r="T398" s="1071" t="s">
        <v>410</v>
      </c>
      <c r="U398" s="1090">
        <f t="shared" si="18"/>
        <v>1129600</v>
      </c>
      <c r="Z398" s="1010"/>
      <c r="AF398" s="1011">
        <f>'사. 임직원보수 일람표'!L132</f>
        <v>1129600</v>
      </c>
      <c r="AG398" s="1011">
        <f t="shared" si="19"/>
        <v>0</v>
      </c>
    </row>
    <row r="399" spans="1:33" ht="21.75" hidden="1" customHeight="1">
      <c r="A399" s="605"/>
      <c r="B399" s="606"/>
      <c r="C399" s="606"/>
      <c r="D399" s="607"/>
      <c r="E399" s="608"/>
      <c r="F399" s="609"/>
      <c r="G399" s="647"/>
      <c r="H399" s="642"/>
      <c r="I399" s="131"/>
      <c r="J399" s="131"/>
      <c r="K399" s="1037"/>
      <c r="L399" s="1088" t="s">
        <v>252</v>
      </c>
      <c r="M399" s="1075" t="s">
        <v>894</v>
      </c>
      <c r="N399" s="1064" t="s">
        <v>365</v>
      </c>
      <c r="O399" s="1009">
        <f>'사. 임직원보수 일람표'!K133</f>
        <v>14410</v>
      </c>
      <c r="P399" s="1069" t="s">
        <v>744</v>
      </c>
      <c r="Q399" s="1072">
        <v>40</v>
      </c>
      <c r="R399" s="1069" t="s">
        <v>744</v>
      </c>
      <c r="S399" s="1070">
        <v>10</v>
      </c>
      <c r="T399" s="1071" t="s">
        <v>410</v>
      </c>
      <c r="U399" s="1090">
        <f t="shared" si="18"/>
        <v>5764000</v>
      </c>
      <c r="Z399" s="1010"/>
      <c r="AF399" s="1011">
        <f>'사. 임직원보수 일람표'!L133</f>
        <v>5764000</v>
      </c>
      <c r="AG399" s="1011">
        <f t="shared" si="19"/>
        <v>0</v>
      </c>
    </row>
    <row r="400" spans="1:33" ht="21.75" hidden="1" customHeight="1">
      <c r="A400" s="605"/>
      <c r="B400" s="606"/>
      <c r="C400" s="606"/>
      <c r="D400" s="607"/>
      <c r="E400" s="608"/>
      <c r="F400" s="609"/>
      <c r="G400" s="647"/>
      <c r="H400" s="642"/>
      <c r="I400" s="131"/>
      <c r="J400" s="131"/>
      <c r="K400" s="1037"/>
      <c r="L400" s="1088" t="s">
        <v>363</v>
      </c>
      <c r="M400" s="1075" t="s">
        <v>894</v>
      </c>
      <c r="N400" s="1064" t="s">
        <v>366</v>
      </c>
      <c r="O400" s="1009">
        <f>'사. 임직원보수 일람표'!K134</f>
        <v>17890</v>
      </c>
      <c r="P400" s="1069" t="s">
        <v>744</v>
      </c>
      <c r="Q400" s="1072">
        <v>20</v>
      </c>
      <c r="R400" s="1069" t="s">
        <v>744</v>
      </c>
      <c r="S400" s="1070">
        <v>8</v>
      </c>
      <c r="T400" s="1071" t="s">
        <v>410</v>
      </c>
      <c r="U400" s="1090">
        <f t="shared" si="18"/>
        <v>2862400</v>
      </c>
      <c r="Z400" s="1010"/>
      <c r="AF400" s="1011">
        <f>'사. 임직원보수 일람표'!L134</f>
        <v>2862400</v>
      </c>
      <c r="AG400" s="1011">
        <f t="shared" si="19"/>
        <v>0</v>
      </c>
    </row>
    <row r="401" spans="1:33" ht="21.75" hidden="1" customHeight="1">
      <c r="A401" s="605"/>
      <c r="B401" s="606"/>
      <c r="C401" s="606"/>
      <c r="D401" s="607"/>
      <c r="E401" s="608"/>
      <c r="F401" s="609"/>
      <c r="G401" s="647"/>
      <c r="H401" s="642"/>
      <c r="I401" s="131"/>
      <c r="J401" s="131"/>
      <c r="K401" s="1037"/>
      <c r="L401" s="1088" t="s">
        <v>363</v>
      </c>
      <c r="M401" s="1075" t="s">
        <v>894</v>
      </c>
      <c r="N401" s="1064" t="s">
        <v>366</v>
      </c>
      <c r="O401" s="1009">
        <f>'사. 임직원보수 일람표'!K135</f>
        <v>18360</v>
      </c>
      <c r="P401" s="1069" t="s">
        <v>744</v>
      </c>
      <c r="Q401" s="1072">
        <v>20</v>
      </c>
      <c r="R401" s="1069" t="s">
        <v>744</v>
      </c>
      <c r="S401" s="1070">
        <v>4</v>
      </c>
      <c r="T401" s="1071" t="s">
        <v>410</v>
      </c>
      <c r="U401" s="1090">
        <f t="shared" si="18"/>
        <v>1468800</v>
      </c>
      <c r="Z401" s="1010"/>
      <c r="AF401" s="1011">
        <f>'사. 임직원보수 일람표'!L135</f>
        <v>1468800</v>
      </c>
      <c r="AG401" s="1011">
        <f t="shared" si="19"/>
        <v>0</v>
      </c>
    </row>
    <row r="402" spans="1:33" ht="21.75" hidden="1" customHeight="1">
      <c r="A402" s="605"/>
      <c r="B402" s="606"/>
      <c r="C402" s="606"/>
      <c r="D402" s="607"/>
      <c r="E402" s="608"/>
      <c r="F402" s="609"/>
      <c r="G402" s="647"/>
      <c r="H402" s="642"/>
      <c r="I402" s="131"/>
      <c r="J402" s="131"/>
      <c r="K402" s="1037"/>
      <c r="L402" s="1088" t="s">
        <v>210</v>
      </c>
      <c r="M402" s="1075" t="s">
        <v>899</v>
      </c>
      <c r="N402" s="1064" t="s">
        <v>276</v>
      </c>
      <c r="O402" s="1009">
        <f>'사. 임직원보수 일람표'!K145</f>
        <v>13070</v>
      </c>
      <c r="P402" s="1069" t="s">
        <v>744</v>
      </c>
      <c r="Q402" s="1072">
        <v>40</v>
      </c>
      <c r="R402" s="1069" t="s">
        <v>744</v>
      </c>
      <c r="S402" s="1070">
        <v>3</v>
      </c>
      <c r="T402" s="1071" t="s">
        <v>410</v>
      </c>
      <c r="U402" s="1090">
        <f t="shared" si="18"/>
        <v>1568400</v>
      </c>
      <c r="Z402" s="1010"/>
      <c r="AF402" s="1011">
        <f>'사. 임직원보수 일람표'!L145</f>
        <v>1568400</v>
      </c>
      <c r="AG402" s="1011">
        <f t="shared" si="19"/>
        <v>0</v>
      </c>
    </row>
    <row r="403" spans="1:33" ht="21.75" hidden="1" customHeight="1">
      <c r="A403" s="605"/>
      <c r="B403" s="606"/>
      <c r="C403" s="606"/>
      <c r="D403" s="607"/>
      <c r="E403" s="608"/>
      <c r="F403" s="609"/>
      <c r="G403" s="647"/>
      <c r="H403" s="642"/>
      <c r="I403" s="131"/>
      <c r="J403" s="131"/>
      <c r="K403" s="1037"/>
      <c r="L403" s="1088" t="s">
        <v>210</v>
      </c>
      <c r="M403" s="1075" t="s">
        <v>899</v>
      </c>
      <c r="N403" s="1064" t="s">
        <v>276</v>
      </c>
      <c r="O403" s="1009">
        <f>'사. 임직원보수 일람표'!K146</f>
        <v>13440</v>
      </c>
      <c r="P403" s="1069" t="s">
        <v>744</v>
      </c>
      <c r="Q403" s="1072">
        <v>40</v>
      </c>
      <c r="R403" s="1069" t="s">
        <v>744</v>
      </c>
      <c r="S403" s="1070">
        <v>5</v>
      </c>
      <c r="T403" s="1071" t="s">
        <v>410</v>
      </c>
      <c r="U403" s="1090">
        <f t="shared" si="18"/>
        <v>2688000</v>
      </c>
      <c r="Z403" s="1010"/>
      <c r="AF403" s="1011">
        <f>'사. 임직원보수 일람표'!L146</f>
        <v>2688000</v>
      </c>
      <c r="AG403" s="1011">
        <f t="shared" si="19"/>
        <v>0</v>
      </c>
    </row>
    <row r="404" spans="1:33" ht="21.75" hidden="1" customHeight="1">
      <c r="A404" s="605"/>
      <c r="B404" s="606"/>
      <c r="C404" s="606"/>
      <c r="D404" s="607"/>
      <c r="E404" s="608"/>
      <c r="F404" s="609"/>
      <c r="G404" s="647"/>
      <c r="H404" s="642"/>
      <c r="I404" s="131"/>
      <c r="J404" s="131"/>
      <c r="K404" s="1037"/>
      <c r="L404" s="1088" t="s">
        <v>210</v>
      </c>
      <c r="M404" s="1075" t="s">
        <v>899</v>
      </c>
      <c r="N404" s="1064" t="s">
        <v>261</v>
      </c>
      <c r="O404" s="1009">
        <f>'사. 임직원보수 일람표'!K147</f>
        <v>13070</v>
      </c>
      <c r="P404" s="1069" t="s">
        <v>744</v>
      </c>
      <c r="Q404" s="1072">
        <v>40</v>
      </c>
      <c r="R404" s="1069" t="s">
        <v>744</v>
      </c>
      <c r="S404" s="1070">
        <v>12</v>
      </c>
      <c r="T404" s="1071" t="s">
        <v>410</v>
      </c>
      <c r="U404" s="1090">
        <f t="shared" si="18"/>
        <v>6273600</v>
      </c>
      <c r="Z404" s="1010"/>
      <c r="AF404" s="1011">
        <f>'사. 임직원보수 일람표'!L147</f>
        <v>6273600</v>
      </c>
      <c r="AG404" s="1011">
        <f t="shared" si="19"/>
        <v>0</v>
      </c>
    </row>
    <row r="405" spans="1:33" ht="21.75" hidden="1" customHeight="1">
      <c r="A405" s="605"/>
      <c r="B405" s="606"/>
      <c r="C405" s="606"/>
      <c r="D405" s="607"/>
      <c r="E405" s="608"/>
      <c r="F405" s="609"/>
      <c r="G405" s="647"/>
      <c r="H405" s="642"/>
      <c r="I405" s="131"/>
      <c r="J405" s="131"/>
      <c r="K405" s="1037"/>
      <c r="L405" s="1088" t="s">
        <v>210</v>
      </c>
      <c r="M405" s="1075" t="s">
        <v>899</v>
      </c>
      <c r="N405" s="1064" t="s">
        <v>368</v>
      </c>
      <c r="O405" s="1009">
        <f>'사. 임직원보수 일람표'!K149</f>
        <v>13840</v>
      </c>
      <c r="P405" s="1069" t="s">
        <v>744</v>
      </c>
      <c r="Q405" s="1072">
        <v>40</v>
      </c>
      <c r="R405" s="1069" t="s">
        <v>744</v>
      </c>
      <c r="S405" s="1070">
        <v>12</v>
      </c>
      <c r="T405" s="1071" t="s">
        <v>410</v>
      </c>
      <c r="U405" s="1090">
        <f t="shared" si="18"/>
        <v>6643200</v>
      </c>
      <c r="Z405" s="1010"/>
      <c r="AF405" s="1011">
        <f>'사. 임직원보수 일람표'!L149</f>
        <v>6643200</v>
      </c>
      <c r="AG405" s="1011">
        <f t="shared" si="19"/>
        <v>0</v>
      </c>
    </row>
    <row r="406" spans="1:33" ht="21.75" hidden="1" customHeight="1">
      <c r="A406" s="605"/>
      <c r="B406" s="606"/>
      <c r="C406" s="606"/>
      <c r="D406" s="607"/>
      <c r="E406" s="608"/>
      <c r="F406" s="609"/>
      <c r="G406" s="647"/>
      <c r="H406" s="642"/>
      <c r="I406" s="131"/>
      <c r="J406" s="131"/>
      <c r="K406" s="1037"/>
      <c r="L406" s="1088" t="s">
        <v>210</v>
      </c>
      <c r="M406" s="1075" t="s">
        <v>899</v>
      </c>
      <c r="N406" s="1064" t="s">
        <v>369</v>
      </c>
      <c r="O406" s="1009">
        <f>'사. 임직원보수 일람표'!K151</f>
        <v>13440</v>
      </c>
      <c r="P406" s="1069" t="s">
        <v>744</v>
      </c>
      <c r="Q406" s="1072">
        <v>40</v>
      </c>
      <c r="R406" s="1069" t="s">
        <v>744</v>
      </c>
      <c r="S406" s="1070">
        <v>9</v>
      </c>
      <c r="T406" s="1071" t="s">
        <v>410</v>
      </c>
      <c r="U406" s="1090">
        <f t="shared" si="18"/>
        <v>4838400</v>
      </c>
      <c r="Z406" s="1010"/>
      <c r="AF406" s="1011">
        <f>'사. 임직원보수 일람표'!L151</f>
        <v>4838400</v>
      </c>
      <c r="AG406" s="1011">
        <f t="shared" si="19"/>
        <v>0</v>
      </c>
    </row>
    <row r="407" spans="1:33" ht="21.75" hidden="1" customHeight="1">
      <c r="A407" s="605"/>
      <c r="B407" s="606"/>
      <c r="C407" s="606"/>
      <c r="D407" s="607"/>
      <c r="E407" s="608"/>
      <c r="F407" s="609"/>
      <c r="G407" s="647"/>
      <c r="H407" s="642"/>
      <c r="I407" s="131"/>
      <c r="J407" s="131"/>
      <c r="K407" s="1037"/>
      <c r="L407" s="1088" t="s">
        <v>210</v>
      </c>
      <c r="M407" s="1075" t="s">
        <v>899</v>
      </c>
      <c r="N407" s="1064" t="s">
        <v>369</v>
      </c>
      <c r="O407" s="1009">
        <f>'사. 임직원보수 일람표'!K152</f>
        <v>13840</v>
      </c>
      <c r="P407" s="1069" t="s">
        <v>744</v>
      </c>
      <c r="Q407" s="1072">
        <v>40</v>
      </c>
      <c r="R407" s="1069" t="s">
        <v>744</v>
      </c>
      <c r="S407" s="1070">
        <v>3</v>
      </c>
      <c r="T407" s="1071" t="s">
        <v>410</v>
      </c>
      <c r="U407" s="1090">
        <f t="shared" si="18"/>
        <v>1660800</v>
      </c>
      <c r="Z407" s="1010"/>
      <c r="AF407" s="1011">
        <f>'사. 임직원보수 일람표'!L152</f>
        <v>1660800</v>
      </c>
      <c r="AG407" s="1011">
        <f t="shared" si="19"/>
        <v>0</v>
      </c>
    </row>
    <row r="408" spans="1:33" ht="21.75" hidden="1" customHeight="1">
      <c r="A408" s="605"/>
      <c r="B408" s="606"/>
      <c r="C408" s="606"/>
      <c r="D408" s="607"/>
      <c r="E408" s="608"/>
      <c r="F408" s="609"/>
      <c r="G408" s="647"/>
      <c r="H408" s="642"/>
      <c r="I408" s="131"/>
      <c r="J408" s="131"/>
      <c r="K408" s="1037"/>
      <c r="L408" s="1088" t="s">
        <v>210</v>
      </c>
      <c r="M408" s="1075" t="s">
        <v>899</v>
      </c>
      <c r="N408" s="1064" t="s">
        <v>370</v>
      </c>
      <c r="O408" s="1009">
        <f>'사. 임직원보수 일람표'!K153</f>
        <v>13070</v>
      </c>
      <c r="P408" s="1069" t="s">
        <v>744</v>
      </c>
      <c r="Q408" s="1072">
        <v>40</v>
      </c>
      <c r="R408" s="1069" t="s">
        <v>744</v>
      </c>
      <c r="S408" s="1070">
        <v>12</v>
      </c>
      <c r="T408" s="1071" t="s">
        <v>410</v>
      </c>
      <c r="U408" s="1090">
        <f t="shared" si="18"/>
        <v>6273600</v>
      </c>
      <c r="Z408" s="1010"/>
      <c r="AF408" s="1011">
        <f>'사. 임직원보수 일람표'!L153</f>
        <v>6273600</v>
      </c>
      <c r="AG408" s="1011">
        <f t="shared" si="19"/>
        <v>0</v>
      </c>
    </row>
    <row r="409" spans="1:33" ht="21.75" hidden="1" customHeight="1">
      <c r="A409" s="605"/>
      <c r="B409" s="606"/>
      <c r="C409" s="606"/>
      <c r="D409" s="607"/>
      <c r="E409" s="608"/>
      <c r="F409" s="609"/>
      <c r="G409" s="647"/>
      <c r="H409" s="642"/>
      <c r="I409" s="131"/>
      <c r="J409" s="131"/>
      <c r="K409" s="1037"/>
      <c r="L409" s="1088" t="s">
        <v>210</v>
      </c>
      <c r="M409" s="1075" t="s">
        <v>899</v>
      </c>
      <c r="N409" s="1064" t="s">
        <v>371</v>
      </c>
      <c r="O409" s="1009">
        <f>'사. 임직원보수 일람표'!K155</f>
        <v>13070</v>
      </c>
      <c r="P409" s="1069" t="s">
        <v>744</v>
      </c>
      <c r="Q409" s="1072">
        <v>40</v>
      </c>
      <c r="R409" s="1069" t="s">
        <v>744</v>
      </c>
      <c r="S409" s="1070">
        <v>12</v>
      </c>
      <c r="T409" s="1071" t="s">
        <v>410</v>
      </c>
      <c r="U409" s="1090">
        <f t="shared" si="18"/>
        <v>6273600</v>
      </c>
      <c r="Z409" s="1010"/>
      <c r="AF409" s="1011">
        <f>'사. 임직원보수 일람표'!L155</f>
        <v>6273600</v>
      </c>
      <c r="AG409" s="1011">
        <f t="shared" si="19"/>
        <v>0</v>
      </c>
    </row>
    <row r="410" spans="1:33" ht="21.75" hidden="1" customHeight="1">
      <c r="A410" s="605"/>
      <c r="B410" s="606"/>
      <c r="C410" s="606"/>
      <c r="D410" s="607"/>
      <c r="E410" s="608"/>
      <c r="F410" s="609"/>
      <c r="G410" s="647"/>
      <c r="H410" s="642"/>
      <c r="I410" s="131"/>
      <c r="J410" s="131"/>
      <c r="K410" s="1037"/>
      <c r="L410" s="1088" t="s">
        <v>210</v>
      </c>
      <c r="M410" s="1075" t="s">
        <v>899</v>
      </c>
      <c r="N410" s="1064" t="s">
        <v>372</v>
      </c>
      <c r="O410" s="1009">
        <f>'사. 임직원보수 일람표'!K157</f>
        <v>13840</v>
      </c>
      <c r="P410" s="1069" t="s">
        <v>744</v>
      </c>
      <c r="Q410" s="1072">
        <v>40</v>
      </c>
      <c r="R410" s="1069" t="s">
        <v>744</v>
      </c>
      <c r="S410" s="1070">
        <v>4</v>
      </c>
      <c r="T410" s="1071" t="s">
        <v>410</v>
      </c>
      <c r="U410" s="1090">
        <f t="shared" si="18"/>
        <v>2214400</v>
      </c>
      <c r="Z410" s="1010"/>
      <c r="AF410" s="1011">
        <f>'사. 임직원보수 일람표'!L157</f>
        <v>2214400</v>
      </c>
      <c r="AG410" s="1011">
        <f t="shared" si="19"/>
        <v>0</v>
      </c>
    </row>
    <row r="411" spans="1:33" ht="21.75" hidden="1" customHeight="1">
      <c r="A411" s="605"/>
      <c r="B411" s="606"/>
      <c r="C411" s="606"/>
      <c r="D411" s="607"/>
      <c r="E411" s="608"/>
      <c r="F411" s="609"/>
      <c r="G411" s="647"/>
      <c r="H411" s="642"/>
      <c r="I411" s="131"/>
      <c r="J411" s="131"/>
      <c r="K411" s="1037"/>
      <c r="L411" s="1088" t="s">
        <v>210</v>
      </c>
      <c r="M411" s="1075" t="s">
        <v>899</v>
      </c>
      <c r="N411" s="1064" t="s">
        <v>372</v>
      </c>
      <c r="O411" s="1009">
        <f>'사. 임직원보수 일람표'!K158</f>
        <v>14260</v>
      </c>
      <c r="P411" s="1069" t="s">
        <v>744</v>
      </c>
      <c r="Q411" s="1072">
        <v>40</v>
      </c>
      <c r="R411" s="1069" t="s">
        <v>744</v>
      </c>
      <c r="S411" s="1070">
        <v>7</v>
      </c>
      <c r="T411" s="1071" t="s">
        <v>410</v>
      </c>
      <c r="U411" s="1090">
        <f t="shared" si="18"/>
        <v>3992800</v>
      </c>
      <c r="Z411" s="1010"/>
      <c r="AF411" s="1011">
        <f>'사. 임직원보수 일람표'!L158</f>
        <v>3992800</v>
      </c>
      <c r="AG411" s="1011">
        <f t="shared" si="19"/>
        <v>0</v>
      </c>
    </row>
    <row r="412" spans="1:33" ht="21.75" hidden="1" customHeight="1">
      <c r="A412" s="605"/>
      <c r="B412" s="606"/>
      <c r="C412" s="606"/>
      <c r="D412" s="607"/>
      <c r="E412" s="608"/>
      <c r="F412" s="609"/>
      <c r="G412" s="647"/>
      <c r="H412" s="642"/>
      <c r="I412" s="131"/>
      <c r="J412" s="131"/>
      <c r="K412" s="1037"/>
      <c r="L412" s="1088" t="s">
        <v>210</v>
      </c>
      <c r="M412" s="1075" t="s">
        <v>899</v>
      </c>
      <c r="N412" s="1064" t="s">
        <v>373</v>
      </c>
      <c r="O412" s="1009">
        <f>'사. 임직원보수 일람표'!K159</f>
        <v>13840</v>
      </c>
      <c r="P412" s="1069" t="s">
        <v>744</v>
      </c>
      <c r="Q412" s="1072">
        <v>40</v>
      </c>
      <c r="R412" s="1069" t="s">
        <v>744</v>
      </c>
      <c r="S412" s="1070">
        <v>3</v>
      </c>
      <c r="T412" s="1071" t="s">
        <v>410</v>
      </c>
      <c r="U412" s="1090">
        <f t="shared" si="18"/>
        <v>1660800</v>
      </c>
      <c r="Z412" s="1010"/>
      <c r="AF412" s="1011">
        <f>'사. 임직원보수 일람표'!L159</f>
        <v>1660800</v>
      </c>
      <c r="AG412" s="1011">
        <f t="shared" si="19"/>
        <v>0</v>
      </c>
    </row>
    <row r="413" spans="1:33" ht="21.75" hidden="1" customHeight="1">
      <c r="A413" s="605"/>
      <c r="B413" s="606"/>
      <c r="C413" s="606"/>
      <c r="D413" s="607"/>
      <c r="E413" s="608"/>
      <c r="F413" s="609"/>
      <c r="G413" s="647"/>
      <c r="H413" s="642"/>
      <c r="I413" s="131"/>
      <c r="J413" s="131"/>
      <c r="K413" s="1037"/>
      <c r="L413" s="1088" t="s">
        <v>210</v>
      </c>
      <c r="M413" s="1075" t="s">
        <v>899</v>
      </c>
      <c r="N413" s="1064" t="s">
        <v>373</v>
      </c>
      <c r="O413" s="1009">
        <f>'사. 임직원보수 일람표'!K160</f>
        <v>14260</v>
      </c>
      <c r="P413" s="1069" t="s">
        <v>744</v>
      </c>
      <c r="Q413" s="1072">
        <v>40</v>
      </c>
      <c r="R413" s="1069" t="s">
        <v>744</v>
      </c>
      <c r="S413" s="1070">
        <v>6</v>
      </c>
      <c r="T413" s="1071" t="s">
        <v>410</v>
      </c>
      <c r="U413" s="1090">
        <f t="shared" si="18"/>
        <v>3422400</v>
      </c>
      <c r="Z413" s="1010"/>
      <c r="AF413" s="1011">
        <f>'사. 임직원보수 일람표'!L160</f>
        <v>3422400</v>
      </c>
      <c r="AG413" s="1011">
        <f t="shared" si="19"/>
        <v>0</v>
      </c>
    </row>
    <row r="414" spans="1:33" ht="21.75" hidden="1" customHeight="1">
      <c r="A414" s="605"/>
      <c r="B414" s="606"/>
      <c r="C414" s="606"/>
      <c r="D414" s="607"/>
      <c r="E414" s="608"/>
      <c r="F414" s="609"/>
      <c r="G414" s="647"/>
      <c r="H414" s="642"/>
      <c r="I414" s="131"/>
      <c r="J414" s="131"/>
      <c r="K414" s="1037"/>
      <c r="L414" s="1088" t="s">
        <v>210</v>
      </c>
      <c r="M414" s="1075" t="s">
        <v>899</v>
      </c>
      <c r="N414" s="1064" t="s">
        <v>374</v>
      </c>
      <c r="O414" s="1009">
        <f>'사. 임직원보수 일람표'!K161</f>
        <v>13070</v>
      </c>
      <c r="P414" s="1069" t="s">
        <v>744</v>
      </c>
      <c r="Q414" s="1072">
        <v>40</v>
      </c>
      <c r="R414" s="1069" t="s">
        <v>744</v>
      </c>
      <c r="S414" s="1070">
        <v>6</v>
      </c>
      <c r="T414" s="1071" t="s">
        <v>410</v>
      </c>
      <c r="U414" s="1090">
        <f t="shared" si="18"/>
        <v>3136800</v>
      </c>
      <c r="Z414" s="1010"/>
      <c r="AF414" s="1011">
        <f>'사. 임직원보수 일람표'!L161</f>
        <v>3136800</v>
      </c>
      <c r="AG414" s="1011">
        <f t="shared" si="19"/>
        <v>0</v>
      </c>
    </row>
    <row r="415" spans="1:33" ht="21.75" hidden="1" customHeight="1">
      <c r="A415" s="605"/>
      <c r="B415" s="606"/>
      <c r="C415" s="606"/>
      <c r="D415" s="607"/>
      <c r="E415" s="608"/>
      <c r="F415" s="609"/>
      <c r="G415" s="647"/>
      <c r="H415" s="642"/>
      <c r="I415" s="131"/>
      <c r="J415" s="131"/>
      <c r="K415" s="1037"/>
      <c r="L415" s="1088" t="s">
        <v>210</v>
      </c>
      <c r="M415" s="1075" t="s">
        <v>899</v>
      </c>
      <c r="N415" s="1064" t="s">
        <v>375</v>
      </c>
      <c r="O415" s="1009">
        <f>'사. 임직원보수 일람표'!K163</f>
        <v>13440</v>
      </c>
      <c r="P415" s="1069" t="s">
        <v>744</v>
      </c>
      <c r="Q415" s="1072">
        <v>40</v>
      </c>
      <c r="R415" s="1069" t="s">
        <v>744</v>
      </c>
      <c r="S415" s="1070">
        <v>3</v>
      </c>
      <c r="T415" s="1071" t="s">
        <v>410</v>
      </c>
      <c r="U415" s="1090">
        <f t="shared" si="18"/>
        <v>1612800</v>
      </c>
      <c r="Z415" s="1010"/>
      <c r="AF415" s="1011">
        <f>'사. 임직원보수 일람표'!L163</f>
        <v>1612800</v>
      </c>
      <c r="AG415" s="1011">
        <f t="shared" si="19"/>
        <v>0</v>
      </c>
    </row>
    <row r="416" spans="1:33" ht="21.75" hidden="1" customHeight="1">
      <c r="A416" s="605"/>
      <c r="B416" s="606"/>
      <c r="C416" s="606"/>
      <c r="D416" s="607"/>
      <c r="E416" s="608"/>
      <c r="F416" s="609"/>
      <c r="G416" s="647"/>
      <c r="H416" s="642"/>
      <c r="I416" s="131"/>
      <c r="J416" s="131"/>
      <c r="K416" s="1037"/>
      <c r="L416" s="1088" t="s">
        <v>210</v>
      </c>
      <c r="M416" s="1075" t="s">
        <v>899</v>
      </c>
      <c r="N416" s="1064" t="s">
        <v>375</v>
      </c>
      <c r="O416" s="1009">
        <f>'사. 임직원보수 일람표'!K164</f>
        <v>13840</v>
      </c>
      <c r="P416" s="1069" t="s">
        <v>744</v>
      </c>
      <c r="Q416" s="1072">
        <v>40</v>
      </c>
      <c r="R416" s="1069" t="s">
        <v>744</v>
      </c>
      <c r="S416" s="1070">
        <v>2</v>
      </c>
      <c r="T416" s="1071" t="s">
        <v>410</v>
      </c>
      <c r="U416" s="1090">
        <f t="shared" si="18"/>
        <v>1107200</v>
      </c>
      <c r="Z416" s="1010"/>
      <c r="AF416" s="1011">
        <f>'사. 임직원보수 일람표'!L164</f>
        <v>1107200</v>
      </c>
      <c r="AG416" s="1011">
        <f t="shared" si="19"/>
        <v>0</v>
      </c>
    </row>
    <row r="417" spans="1:33" ht="21.75" hidden="1" customHeight="1">
      <c r="A417" s="605"/>
      <c r="B417" s="606"/>
      <c r="C417" s="606"/>
      <c r="D417" s="607"/>
      <c r="E417" s="608"/>
      <c r="F417" s="609"/>
      <c r="G417" s="647"/>
      <c r="H417" s="642"/>
      <c r="I417" s="131"/>
      <c r="J417" s="131"/>
      <c r="K417" s="1037"/>
      <c r="L417" s="1088" t="s">
        <v>210</v>
      </c>
      <c r="M417" s="1075" t="s">
        <v>899</v>
      </c>
      <c r="N417" s="1064" t="s">
        <v>376</v>
      </c>
      <c r="O417" s="1009">
        <f>'사. 임직원보수 일람표'!K165</f>
        <v>13440</v>
      </c>
      <c r="P417" s="1069" t="s">
        <v>744</v>
      </c>
      <c r="Q417" s="1072">
        <v>40</v>
      </c>
      <c r="R417" s="1069" t="s">
        <v>744</v>
      </c>
      <c r="S417" s="1070">
        <v>3</v>
      </c>
      <c r="T417" s="1071" t="s">
        <v>410</v>
      </c>
      <c r="U417" s="1090">
        <f t="shared" si="18"/>
        <v>1612800</v>
      </c>
      <c r="Z417" s="1010"/>
      <c r="AF417" s="1011">
        <f>'사. 임직원보수 일람표'!L165</f>
        <v>1612800</v>
      </c>
      <c r="AG417" s="1011">
        <f t="shared" si="19"/>
        <v>0</v>
      </c>
    </row>
    <row r="418" spans="1:33" ht="21.75" hidden="1" customHeight="1">
      <c r="A418" s="605"/>
      <c r="B418" s="606"/>
      <c r="C418" s="606"/>
      <c r="D418" s="607"/>
      <c r="E418" s="608"/>
      <c r="F418" s="609"/>
      <c r="G418" s="647"/>
      <c r="H418" s="642"/>
      <c r="I418" s="131"/>
      <c r="J418" s="131"/>
      <c r="K418" s="1037"/>
      <c r="L418" s="1088" t="s">
        <v>210</v>
      </c>
      <c r="M418" s="1075" t="s">
        <v>899</v>
      </c>
      <c r="N418" s="1064" t="s">
        <v>384</v>
      </c>
      <c r="O418" s="1009">
        <f>'사. 임직원보수 일람표'!K167</f>
        <v>13840</v>
      </c>
      <c r="P418" s="1069" t="s">
        <v>744</v>
      </c>
      <c r="Q418" s="1072">
        <v>40</v>
      </c>
      <c r="R418" s="1069" t="s">
        <v>744</v>
      </c>
      <c r="S418" s="1070">
        <v>6</v>
      </c>
      <c r="T418" s="1071" t="s">
        <v>410</v>
      </c>
      <c r="U418" s="1090">
        <f t="shared" si="18"/>
        <v>3321600</v>
      </c>
      <c r="Z418" s="1010"/>
      <c r="AF418" s="1011">
        <f>'사. 임직원보수 일람표'!L167</f>
        <v>3321600</v>
      </c>
      <c r="AG418" s="1011">
        <f t="shared" si="19"/>
        <v>0</v>
      </c>
    </row>
    <row r="419" spans="1:33" ht="21.75" customHeight="1">
      <c r="A419" s="605"/>
      <c r="B419" s="606"/>
      <c r="C419" s="606"/>
      <c r="D419" s="607"/>
      <c r="E419" s="608"/>
      <c r="F419" s="609"/>
      <c r="G419" s="647"/>
      <c r="H419" s="642"/>
      <c r="I419" s="131"/>
      <c r="J419" s="131"/>
      <c r="K419" s="1037"/>
      <c r="L419" s="1350" t="s">
        <v>884</v>
      </c>
      <c r="M419" s="1351"/>
      <c r="N419" s="1353" t="s">
        <v>883</v>
      </c>
      <c r="O419" s="1353"/>
      <c r="P419" s="1353"/>
      <c r="Q419" s="1353"/>
      <c r="R419" s="1353"/>
      <c r="S419" s="1353"/>
      <c r="T419" s="1353"/>
      <c r="U419" s="1155">
        <f>SUM(U420:U468)</f>
        <v>28326250</v>
      </c>
      <c r="Z419" s="1010"/>
    </row>
    <row r="420" spans="1:33" ht="21.75" hidden="1" customHeight="1">
      <c r="A420" s="605"/>
      <c r="B420" s="606"/>
      <c r="C420" s="606"/>
      <c r="D420" s="607"/>
      <c r="E420" s="608"/>
      <c r="F420" s="609"/>
      <c r="G420" s="647"/>
      <c r="H420" s="642"/>
      <c r="I420" s="131"/>
      <c r="J420" s="131"/>
      <c r="K420" s="1037"/>
      <c r="L420" s="1088" t="s">
        <v>161</v>
      </c>
      <c r="M420" s="1064" t="s">
        <v>161</v>
      </c>
      <c r="N420" s="1064" t="s">
        <v>885</v>
      </c>
      <c r="O420" s="1009">
        <f>'사. 임직원보수 일람표'!K5</f>
        <v>26560</v>
      </c>
      <c r="P420" s="1069" t="s">
        <v>744</v>
      </c>
      <c r="Q420" s="1072">
        <v>5</v>
      </c>
      <c r="R420" s="1069" t="s">
        <v>744</v>
      </c>
      <c r="S420" s="1070">
        <v>5</v>
      </c>
      <c r="T420" s="1071" t="s">
        <v>410</v>
      </c>
      <c r="U420" s="1073">
        <f t="shared" ref="U420:U451" si="20">O420*Q420*S420</f>
        <v>664000</v>
      </c>
      <c r="Z420" s="583">
        <v>1</v>
      </c>
      <c r="AF420" s="1011">
        <f>'사. 임직원보수 일람표'!M5</f>
        <v>664000</v>
      </c>
      <c r="AG420" s="1011">
        <f t="shared" ref="AG420:AG451" si="21">U420-AF420</f>
        <v>0</v>
      </c>
    </row>
    <row r="421" spans="1:33" ht="21.75" hidden="1" customHeight="1">
      <c r="A421" s="605"/>
      <c r="B421" s="606"/>
      <c r="C421" s="606"/>
      <c r="D421" s="607"/>
      <c r="E421" s="608"/>
      <c r="F421" s="609"/>
      <c r="G421" s="647"/>
      <c r="H421" s="642"/>
      <c r="I421" s="131"/>
      <c r="J421" s="131"/>
      <c r="K421" s="1037"/>
      <c r="L421" s="1088" t="s">
        <v>161</v>
      </c>
      <c r="M421" s="1064" t="s">
        <v>161</v>
      </c>
      <c r="N421" s="1064" t="s">
        <v>885</v>
      </c>
      <c r="O421" s="1009">
        <f>'사. 임직원보수 일람표'!K6</f>
        <v>27170</v>
      </c>
      <c r="P421" s="1069" t="s">
        <v>744</v>
      </c>
      <c r="Q421" s="1072">
        <v>5</v>
      </c>
      <c r="R421" s="1069" t="s">
        <v>744</v>
      </c>
      <c r="S421" s="1070">
        <v>7</v>
      </c>
      <c r="T421" s="1071" t="s">
        <v>410</v>
      </c>
      <c r="U421" s="1073">
        <f t="shared" si="20"/>
        <v>950950</v>
      </c>
      <c r="Z421" s="583">
        <v>2</v>
      </c>
      <c r="AF421" s="1011">
        <f>'사. 임직원보수 일람표'!M6</f>
        <v>950950</v>
      </c>
      <c r="AG421" s="1011">
        <f t="shared" si="21"/>
        <v>0</v>
      </c>
    </row>
    <row r="422" spans="1:33" ht="21.75" hidden="1" customHeight="1">
      <c r="A422" s="605"/>
      <c r="B422" s="606"/>
      <c r="C422" s="606"/>
      <c r="D422" s="607"/>
      <c r="E422" s="608"/>
      <c r="F422" s="609"/>
      <c r="G422" s="647"/>
      <c r="H422" s="642"/>
      <c r="I422" s="131"/>
      <c r="J422" s="131"/>
      <c r="K422" s="1037"/>
      <c r="L422" s="1088" t="s">
        <v>174</v>
      </c>
      <c r="M422" s="1064" t="s">
        <v>174</v>
      </c>
      <c r="N422" s="1064" t="s">
        <v>175</v>
      </c>
      <c r="O422" s="1009">
        <f>'사. 임직원보수 일람표'!K7</f>
        <v>27010</v>
      </c>
      <c r="P422" s="1069" t="s">
        <v>744</v>
      </c>
      <c r="Q422" s="1072">
        <v>5</v>
      </c>
      <c r="R422" s="1069" t="s">
        <v>744</v>
      </c>
      <c r="S422" s="1070">
        <v>4</v>
      </c>
      <c r="T422" s="1071" t="s">
        <v>410</v>
      </c>
      <c r="U422" s="1073">
        <f t="shared" si="20"/>
        <v>540200</v>
      </c>
      <c r="Z422" s="583">
        <v>3</v>
      </c>
      <c r="AF422" s="1011">
        <f>'사. 임직원보수 일람표'!M7</f>
        <v>540200</v>
      </c>
      <c r="AG422" s="1011">
        <f t="shared" si="21"/>
        <v>0</v>
      </c>
    </row>
    <row r="423" spans="1:33" ht="21.75" hidden="1" customHeight="1">
      <c r="A423" s="605"/>
      <c r="B423" s="606"/>
      <c r="C423" s="606"/>
      <c r="D423" s="607"/>
      <c r="E423" s="608"/>
      <c r="F423" s="609"/>
      <c r="G423" s="647"/>
      <c r="H423" s="642"/>
      <c r="I423" s="131"/>
      <c r="J423" s="131"/>
      <c r="K423" s="1037"/>
      <c r="L423" s="1088" t="s">
        <v>174</v>
      </c>
      <c r="M423" s="1064" t="s">
        <v>174</v>
      </c>
      <c r="N423" s="1064" t="s">
        <v>175</v>
      </c>
      <c r="O423" s="1009">
        <f>'사. 임직원보수 일람표'!K8</f>
        <v>27450</v>
      </c>
      <c r="P423" s="1069" t="s">
        <v>744</v>
      </c>
      <c r="Q423" s="1072">
        <v>5</v>
      </c>
      <c r="R423" s="1069" t="s">
        <v>744</v>
      </c>
      <c r="S423" s="1070">
        <v>8</v>
      </c>
      <c r="T423" s="1071" t="s">
        <v>410</v>
      </c>
      <c r="U423" s="1073">
        <f t="shared" si="20"/>
        <v>1098000</v>
      </c>
      <c r="Z423" s="583">
        <v>4</v>
      </c>
      <c r="AF423" s="1011">
        <f>'사. 임직원보수 일람표'!M8</f>
        <v>1098000</v>
      </c>
      <c r="AG423" s="1011">
        <f t="shared" si="21"/>
        <v>0</v>
      </c>
    </row>
    <row r="424" spans="1:33" ht="21.75" hidden="1" customHeight="1">
      <c r="A424" s="605"/>
      <c r="B424" s="606"/>
      <c r="C424" s="606"/>
      <c r="D424" s="607"/>
      <c r="E424" s="608"/>
      <c r="F424" s="609"/>
      <c r="G424" s="647"/>
      <c r="H424" s="642"/>
      <c r="I424" s="131"/>
      <c r="J424" s="131"/>
      <c r="K424" s="1037"/>
      <c r="L424" s="1088" t="s">
        <v>749</v>
      </c>
      <c r="M424" s="1064" t="s">
        <v>747</v>
      </c>
      <c r="N424" s="1064" t="s">
        <v>182</v>
      </c>
      <c r="O424" s="1009">
        <f>'사. 임직원보수 일람표'!K9</f>
        <v>23280</v>
      </c>
      <c r="P424" s="1069" t="s">
        <v>744</v>
      </c>
      <c r="Q424" s="1072">
        <v>5</v>
      </c>
      <c r="R424" s="1069" t="s">
        <v>744</v>
      </c>
      <c r="S424" s="1070">
        <v>6</v>
      </c>
      <c r="T424" s="1071" t="s">
        <v>410</v>
      </c>
      <c r="U424" s="1073">
        <f t="shared" si="20"/>
        <v>698400</v>
      </c>
      <c r="Z424" s="583">
        <v>5</v>
      </c>
      <c r="AF424" s="1011">
        <f>'사. 임직원보수 일람표'!M9</f>
        <v>698400</v>
      </c>
      <c r="AG424" s="1011">
        <f t="shared" si="21"/>
        <v>0</v>
      </c>
    </row>
    <row r="425" spans="1:33" ht="21.75" hidden="1" customHeight="1">
      <c r="A425" s="605"/>
      <c r="B425" s="606"/>
      <c r="C425" s="606"/>
      <c r="D425" s="607"/>
      <c r="E425" s="608"/>
      <c r="F425" s="609"/>
      <c r="G425" s="647"/>
      <c r="H425" s="642"/>
      <c r="I425" s="131"/>
      <c r="J425" s="131"/>
      <c r="K425" s="1037"/>
      <c r="L425" s="1088" t="s">
        <v>749</v>
      </c>
      <c r="M425" s="1064" t="s">
        <v>747</v>
      </c>
      <c r="N425" s="1064" t="s">
        <v>182</v>
      </c>
      <c r="O425" s="1009">
        <f>'사. 임직원보수 일람표'!K10</f>
        <v>23730</v>
      </c>
      <c r="P425" s="1069" t="s">
        <v>744</v>
      </c>
      <c r="Q425" s="1072">
        <v>5</v>
      </c>
      <c r="R425" s="1069" t="s">
        <v>744</v>
      </c>
      <c r="S425" s="1070">
        <v>6</v>
      </c>
      <c r="T425" s="1071" t="s">
        <v>410</v>
      </c>
      <c r="U425" s="1073">
        <f t="shared" si="20"/>
        <v>711900</v>
      </c>
      <c r="Z425" s="583">
        <v>6</v>
      </c>
      <c r="AF425" s="1011">
        <f>'사. 임직원보수 일람표'!M10</f>
        <v>711900</v>
      </c>
      <c r="AG425" s="1011">
        <f t="shared" si="21"/>
        <v>0</v>
      </c>
    </row>
    <row r="426" spans="1:33" ht="21.75" hidden="1" customHeight="1">
      <c r="A426" s="605"/>
      <c r="B426" s="606"/>
      <c r="C426" s="606"/>
      <c r="D426" s="607"/>
      <c r="E426" s="608"/>
      <c r="F426" s="609"/>
      <c r="G426" s="647"/>
      <c r="H426" s="642"/>
      <c r="I426" s="131"/>
      <c r="J426" s="131"/>
      <c r="K426" s="1037"/>
      <c r="L426" s="1088" t="s">
        <v>750</v>
      </c>
      <c r="M426" s="1064" t="s">
        <v>748</v>
      </c>
      <c r="N426" s="1064" t="s">
        <v>886</v>
      </c>
      <c r="O426" s="1009">
        <f>'사. 임직원보수 일람표'!K11</f>
        <v>26400</v>
      </c>
      <c r="P426" s="1069" t="s">
        <v>744</v>
      </c>
      <c r="Q426" s="1072">
        <v>5</v>
      </c>
      <c r="R426" s="1069" t="s">
        <v>744</v>
      </c>
      <c r="S426" s="1070">
        <v>3</v>
      </c>
      <c r="T426" s="1071" t="s">
        <v>410</v>
      </c>
      <c r="U426" s="1073">
        <f t="shared" si="20"/>
        <v>396000</v>
      </c>
      <c r="Z426" s="583">
        <v>7</v>
      </c>
      <c r="AF426" s="1011">
        <f>'사. 임직원보수 일람표'!M11</f>
        <v>396000</v>
      </c>
      <c r="AG426" s="1011">
        <f t="shared" si="21"/>
        <v>0</v>
      </c>
    </row>
    <row r="427" spans="1:33" ht="21.75" hidden="1" customHeight="1">
      <c r="A427" s="605"/>
      <c r="B427" s="606"/>
      <c r="C427" s="606"/>
      <c r="D427" s="607"/>
      <c r="E427" s="608"/>
      <c r="F427" s="609"/>
      <c r="G427" s="647"/>
      <c r="H427" s="642"/>
      <c r="I427" s="131"/>
      <c r="J427" s="131"/>
      <c r="K427" s="1037"/>
      <c r="L427" s="1088" t="s">
        <v>750</v>
      </c>
      <c r="M427" s="1064" t="s">
        <v>748</v>
      </c>
      <c r="N427" s="1064" t="s">
        <v>886</v>
      </c>
      <c r="O427" s="1009">
        <f>'사. 임직원보수 일람표'!K12</f>
        <v>26730</v>
      </c>
      <c r="P427" s="1069" t="s">
        <v>744</v>
      </c>
      <c r="Q427" s="1072">
        <v>5</v>
      </c>
      <c r="R427" s="1069" t="s">
        <v>744</v>
      </c>
      <c r="S427" s="1070">
        <v>9</v>
      </c>
      <c r="T427" s="1071" t="s">
        <v>410</v>
      </c>
      <c r="U427" s="1073">
        <f t="shared" si="20"/>
        <v>1202850</v>
      </c>
      <c r="Z427" s="583">
        <v>8</v>
      </c>
      <c r="AF427" s="1011">
        <f>'사. 임직원보수 일람표'!M12</f>
        <v>1202850</v>
      </c>
      <c r="AG427" s="1011">
        <f t="shared" si="21"/>
        <v>0</v>
      </c>
    </row>
    <row r="428" spans="1:33" ht="21.75" hidden="1" customHeight="1">
      <c r="A428" s="605"/>
      <c r="B428" s="606"/>
      <c r="C428" s="606"/>
      <c r="D428" s="607"/>
      <c r="E428" s="608"/>
      <c r="F428" s="609"/>
      <c r="G428" s="647"/>
      <c r="H428" s="642"/>
      <c r="I428" s="131"/>
      <c r="J428" s="131"/>
      <c r="K428" s="1037"/>
      <c r="L428" s="1088" t="s">
        <v>755</v>
      </c>
      <c r="M428" s="1064" t="s">
        <v>748</v>
      </c>
      <c r="N428" s="1064" t="s">
        <v>887</v>
      </c>
      <c r="O428" s="1009">
        <f>'사. 임직원보수 일람표'!K13</f>
        <v>19610</v>
      </c>
      <c r="P428" s="1069" t="s">
        <v>744</v>
      </c>
      <c r="Q428" s="1072">
        <v>5</v>
      </c>
      <c r="R428" s="1069" t="s">
        <v>744</v>
      </c>
      <c r="S428" s="1070">
        <v>11</v>
      </c>
      <c r="T428" s="1071" t="s">
        <v>410</v>
      </c>
      <c r="U428" s="1073">
        <f t="shared" si="20"/>
        <v>1078550</v>
      </c>
      <c r="Z428" s="583">
        <v>9</v>
      </c>
      <c r="AF428" s="1011">
        <f>'사. 임직원보수 일람표'!M13</f>
        <v>1078550</v>
      </c>
      <c r="AG428" s="1011">
        <f t="shared" si="21"/>
        <v>0</v>
      </c>
    </row>
    <row r="429" spans="1:33" ht="21.75" hidden="1" customHeight="1">
      <c r="A429" s="605"/>
      <c r="B429" s="606"/>
      <c r="C429" s="606"/>
      <c r="D429" s="607"/>
      <c r="E429" s="608"/>
      <c r="F429" s="609"/>
      <c r="G429" s="647"/>
      <c r="H429" s="642"/>
      <c r="I429" s="131"/>
      <c r="J429" s="131"/>
      <c r="K429" s="1037"/>
      <c r="L429" s="1088" t="s">
        <v>755</v>
      </c>
      <c r="M429" s="1064" t="s">
        <v>748</v>
      </c>
      <c r="N429" s="1064" t="s">
        <v>887</v>
      </c>
      <c r="O429" s="1009">
        <f>'사. 임직원보수 일람표'!K14</f>
        <v>20120</v>
      </c>
      <c r="P429" s="1069" t="s">
        <v>744</v>
      </c>
      <c r="Q429" s="1072">
        <v>5</v>
      </c>
      <c r="R429" s="1069" t="s">
        <v>744</v>
      </c>
      <c r="S429" s="1070">
        <v>1</v>
      </c>
      <c r="T429" s="1071" t="s">
        <v>410</v>
      </c>
      <c r="U429" s="1073">
        <f t="shared" si="20"/>
        <v>100600</v>
      </c>
      <c r="Z429" s="583">
        <v>10</v>
      </c>
      <c r="AF429" s="1011">
        <f>'사. 임직원보수 일람표'!M14</f>
        <v>100600</v>
      </c>
      <c r="AG429" s="1011">
        <f t="shared" si="21"/>
        <v>0</v>
      </c>
    </row>
    <row r="430" spans="1:33" ht="21.75" hidden="1" customHeight="1">
      <c r="A430" s="605"/>
      <c r="B430" s="606"/>
      <c r="C430" s="606"/>
      <c r="D430" s="607"/>
      <c r="E430" s="608"/>
      <c r="F430" s="609"/>
      <c r="G430" s="647"/>
      <c r="H430" s="642"/>
      <c r="I430" s="131"/>
      <c r="J430" s="131"/>
      <c r="K430" s="1037"/>
      <c r="L430" s="1088" t="s">
        <v>895</v>
      </c>
      <c r="M430" s="1064" t="s">
        <v>896</v>
      </c>
      <c r="N430" s="1064" t="s">
        <v>897</v>
      </c>
      <c r="O430" s="1009">
        <f>'사. 임직원보수 일람표'!K15</f>
        <v>26400</v>
      </c>
      <c r="P430" s="1069" t="s">
        <v>744</v>
      </c>
      <c r="Q430" s="1072">
        <v>5</v>
      </c>
      <c r="R430" s="1069" t="s">
        <v>744</v>
      </c>
      <c r="S430" s="1070">
        <v>7</v>
      </c>
      <c r="T430" s="1071" t="s">
        <v>410</v>
      </c>
      <c r="U430" s="1073">
        <f t="shared" si="20"/>
        <v>924000</v>
      </c>
      <c r="AF430" s="1011">
        <f>'사. 임직원보수 일람표'!M15</f>
        <v>924000</v>
      </c>
      <c r="AG430" s="1011">
        <f t="shared" si="21"/>
        <v>0</v>
      </c>
    </row>
    <row r="431" spans="1:33" ht="21.75" hidden="1" customHeight="1">
      <c r="A431" s="605"/>
      <c r="B431" s="606"/>
      <c r="C431" s="606"/>
      <c r="D431" s="607"/>
      <c r="E431" s="608"/>
      <c r="F431" s="609"/>
      <c r="G431" s="647"/>
      <c r="H431" s="642"/>
      <c r="I431" s="131"/>
      <c r="J431" s="131"/>
      <c r="K431" s="1037"/>
      <c r="L431" s="1088" t="s">
        <v>193</v>
      </c>
      <c r="M431" s="1064"/>
      <c r="N431" s="1064" t="s">
        <v>888</v>
      </c>
      <c r="O431" s="1009">
        <f>'사. 임직원보수 일람표'!K17</f>
        <v>16920</v>
      </c>
      <c r="P431" s="1069" t="s">
        <v>744</v>
      </c>
      <c r="Q431" s="1072">
        <v>5</v>
      </c>
      <c r="R431" s="1069" t="s">
        <v>744</v>
      </c>
      <c r="S431" s="1070">
        <v>3</v>
      </c>
      <c r="T431" s="1071" t="s">
        <v>410</v>
      </c>
      <c r="U431" s="1073">
        <f t="shared" si="20"/>
        <v>253800</v>
      </c>
      <c r="Z431" s="583">
        <v>11</v>
      </c>
      <c r="AF431" s="1011">
        <f>'사. 임직원보수 일람표'!M17</f>
        <v>253800</v>
      </c>
      <c r="AG431" s="1011">
        <f t="shared" si="21"/>
        <v>0</v>
      </c>
    </row>
    <row r="432" spans="1:33" ht="21.75" hidden="1" customHeight="1">
      <c r="A432" s="605"/>
      <c r="B432" s="606"/>
      <c r="C432" s="606"/>
      <c r="D432" s="607"/>
      <c r="E432" s="608"/>
      <c r="F432" s="609"/>
      <c r="G432" s="647"/>
      <c r="H432" s="642"/>
      <c r="I432" s="131"/>
      <c r="J432" s="131"/>
      <c r="K432" s="1037"/>
      <c r="L432" s="1088" t="s">
        <v>193</v>
      </c>
      <c r="M432" s="1064"/>
      <c r="N432" s="1064" t="s">
        <v>888</v>
      </c>
      <c r="O432" s="1009">
        <f>'사. 임직원보수 일람표'!K18</f>
        <v>17680</v>
      </c>
      <c r="P432" s="1069" t="s">
        <v>744</v>
      </c>
      <c r="Q432" s="1072">
        <v>5</v>
      </c>
      <c r="R432" s="1069" t="s">
        <v>744</v>
      </c>
      <c r="S432" s="1070">
        <v>1</v>
      </c>
      <c r="T432" s="1071" t="s">
        <v>410</v>
      </c>
      <c r="U432" s="1073">
        <f t="shared" si="20"/>
        <v>88400</v>
      </c>
      <c r="Z432" s="583">
        <v>12</v>
      </c>
      <c r="AF432" s="1011">
        <f>'사. 임직원보수 일람표'!M18</f>
        <v>88400</v>
      </c>
      <c r="AG432" s="1011">
        <f t="shared" si="21"/>
        <v>0</v>
      </c>
    </row>
    <row r="433" spans="1:33" ht="21.75" hidden="1" customHeight="1">
      <c r="A433" s="605"/>
      <c r="B433" s="606"/>
      <c r="C433" s="606"/>
      <c r="D433" s="607"/>
      <c r="E433" s="608"/>
      <c r="F433" s="609"/>
      <c r="G433" s="647"/>
      <c r="H433" s="642"/>
      <c r="I433" s="131"/>
      <c r="J433" s="131"/>
      <c r="K433" s="1037"/>
      <c r="L433" s="1088" t="s">
        <v>194</v>
      </c>
      <c r="M433" s="1064"/>
      <c r="N433" s="1064" t="s">
        <v>195</v>
      </c>
      <c r="O433" s="1009">
        <f>'사. 임직원보수 일람표'!K19</f>
        <v>20670</v>
      </c>
      <c r="P433" s="1069" t="s">
        <v>744</v>
      </c>
      <c r="Q433" s="1072">
        <v>5</v>
      </c>
      <c r="R433" s="1069" t="s">
        <v>744</v>
      </c>
      <c r="S433" s="1070">
        <v>3</v>
      </c>
      <c r="T433" s="1071" t="s">
        <v>410</v>
      </c>
      <c r="U433" s="1073">
        <f t="shared" si="20"/>
        <v>310050</v>
      </c>
      <c r="Z433" s="583">
        <v>13</v>
      </c>
      <c r="AF433" s="1011">
        <f>'사. 임직원보수 일람표'!M19</f>
        <v>310050</v>
      </c>
      <c r="AG433" s="1011">
        <f t="shared" si="21"/>
        <v>0</v>
      </c>
    </row>
    <row r="434" spans="1:33" ht="21.75" hidden="1" customHeight="1">
      <c r="A434" s="605"/>
      <c r="B434" s="606"/>
      <c r="C434" s="606"/>
      <c r="D434" s="607"/>
      <c r="E434" s="608"/>
      <c r="F434" s="609"/>
      <c r="G434" s="647"/>
      <c r="H434" s="642"/>
      <c r="I434" s="131"/>
      <c r="J434" s="131"/>
      <c r="K434" s="1037"/>
      <c r="L434" s="1088" t="s">
        <v>194</v>
      </c>
      <c r="M434" s="1064"/>
      <c r="N434" s="1064" t="s">
        <v>195</v>
      </c>
      <c r="O434" s="1009">
        <f>'사. 임직원보수 일람표'!K20</f>
        <v>21260</v>
      </c>
      <c r="P434" s="1069" t="s">
        <v>744</v>
      </c>
      <c r="Q434" s="1072">
        <v>5</v>
      </c>
      <c r="R434" s="1069" t="s">
        <v>744</v>
      </c>
      <c r="S434" s="1070">
        <v>9</v>
      </c>
      <c r="T434" s="1071" t="s">
        <v>410</v>
      </c>
      <c r="U434" s="1073">
        <f t="shared" si="20"/>
        <v>956700</v>
      </c>
      <c r="Z434" s="583">
        <v>14</v>
      </c>
      <c r="AF434" s="1011">
        <f>'사. 임직원보수 일람표'!M20</f>
        <v>956700</v>
      </c>
      <c r="AG434" s="1011">
        <f t="shared" si="21"/>
        <v>0</v>
      </c>
    </row>
    <row r="435" spans="1:33" ht="21.75" hidden="1" customHeight="1">
      <c r="A435" s="605"/>
      <c r="B435" s="606"/>
      <c r="C435" s="606"/>
      <c r="D435" s="607"/>
      <c r="E435" s="608"/>
      <c r="F435" s="609"/>
      <c r="G435" s="647"/>
      <c r="H435" s="642"/>
      <c r="I435" s="131"/>
      <c r="J435" s="131"/>
      <c r="K435" s="1037"/>
      <c r="L435" s="1088" t="s">
        <v>198</v>
      </c>
      <c r="M435" s="1064"/>
      <c r="N435" s="1064" t="s">
        <v>898</v>
      </c>
      <c r="O435" s="1009">
        <f>'사. 임직원보수 일람표'!K21</f>
        <v>15660</v>
      </c>
      <c r="P435" s="1069" t="s">
        <v>744</v>
      </c>
      <c r="Q435" s="1072">
        <v>5</v>
      </c>
      <c r="R435" s="1069" t="s">
        <v>744</v>
      </c>
      <c r="S435" s="1070">
        <v>2</v>
      </c>
      <c r="T435" s="1071" t="s">
        <v>410</v>
      </c>
      <c r="U435" s="1073">
        <f t="shared" si="20"/>
        <v>156600</v>
      </c>
      <c r="AF435" s="1011">
        <f>'사. 임직원보수 일람표'!M21</f>
        <v>156600</v>
      </c>
      <c r="AG435" s="1011">
        <f t="shared" si="21"/>
        <v>0</v>
      </c>
    </row>
    <row r="436" spans="1:33" ht="21.75" hidden="1" customHeight="1">
      <c r="A436" s="605"/>
      <c r="B436" s="606"/>
      <c r="C436" s="606"/>
      <c r="D436" s="607"/>
      <c r="E436" s="608"/>
      <c r="F436" s="609"/>
      <c r="G436" s="647"/>
      <c r="H436" s="642"/>
      <c r="I436" s="131"/>
      <c r="J436" s="131"/>
      <c r="K436" s="1037"/>
      <c r="L436" s="1088" t="s">
        <v>198</v>
      </c>
      <c r="M436" s="1064"/>
      <c r="N436" s="1064" t="s">
        <v>889</v>
      </c>
      <c r="O436" s="1009">
        <f>'사. 임직원보수 일람표'!K23</f>
        <v>16920</v>
      </c>
      <c r="P436" s="1069" t="s">
        <v>744</v>
      </c>
      <c r="Q436" s="1072">
        <v>5</v>
      </c>
      <c r="R436" s="1069" t="s">
        <v>744</v>
      </c>
      <c r="S436" s="1070">
        <v>9</v>
      </c>
      <c r="T436" s="1071" t="s">
        <v>410</v>
      </c>
      <c r="U436" s="1073">
        <f t="shared" si="20"/>
        <v>761400</v>
      </c>
      <c r="Z436" s="583">
        <v>15</v>
      </c>
      <c r="AF436" s="1011">
        <f>'사. 임직원보수 일람표'!M23</f>
        <v>761400</v>
      </c>
      <c r="AG436" s="1011">
        <f t="shared" si="21"/>
        <v>0</v>
      </c>
    </row>
    <row r="437" spans="1:33" ht="21.75" hidden="1" customHeight="1">
      <c r="A437" s="605"/>
      <c r="B437" s="606"/>
      <c r="C437" s="606"/>
      <c r="D437" s="607"/>
      <c r="E437" s="608"/>
      <c r="F437" s="609"/>
      <c r="G437" s="647"/>
      <c r="H437" s="642"/>
      <c r="I437" s="131"/>
      <c r="J437" s="131"/>
      <c r="K437" s="1037"/>
      <c r="L437" s="1088" t="s">
        <v>204</v>
      </c>
      <c r="M437" s="1064"/>
      <c r="N437" s="1064" t="s">
        <v>205</v>
      </c>
      <c r="O437" s="1009">
        <f>'사. 임직원보수 일람표'!K25</f>
        <v>21260</v>
      </c>
      <c r="P437" s="1069" t="s">
        <v>744</v>
      </c>
      <c r="Q437" s="1072">
        <v>5</v>
      </c>
      <c r="R437" s="1069" t="s">
        <v>744</v>
      </c>
      <c r="S437" s="1070">
        <v>7</v>
      </c>
      <c r="T437" s="1071" t="s">
        <v>410</v>
      </c>
      <c r="U437" s="1073">
        <f t="shared" si="20"/>
        <v>744100</v>
      </c>
      <c r="Z437" s="583">
        <v>17</v>
      </c>
      <c r="AF437" s="1011">
        <f>'사. 임직원보수 일람표'!M25</f>
        <v>744100</v>
      </c>
      <c r="AG437" s="1011">
        <f t="shared" si="21"/>
        <v>0</v>
      </c>
    </row>
    <row r="438" spans="1:33" ht="21.75" hidden="1" customHeight="1">
      <c r="A438" s="605"/>
      <c r="B438" s="606"/>
      <c r="C438" s="606"/>
      <c r="D438" s="607"/>
      <c r="E438" s="608"/>
      <c r="F438" s="609"/>
      <c r="G438" s="647"/>
      <c r="H438" s="642"/>
      <c r="I438" s="131"/>
      <c r="J438" s="131"/>
      <c r="K438" s="1037"/>
      <c r="L438" s="1088" t="s">
        <v>204</v>
      </c>
      <c r="M438" s="1064"/>
      <c r="N438" s="1064" t="s">
        <v>205</v>
      </c>
      <c r="O438" s="1009">
        <f>'사. 임직원보수 일람표'!K26</f>
        <v>21800</v>
      </c>
      <c r="P438" s="1069" t="s">
        <v>744</v>
      </c>
      <c r="Q438" s="1072">
        <v>5</v>
      </c>
      <c r="R438" s="1069" t="s">
        <v>744</v>
      </c>
      <c r="S438" s="1070">
        <v>5</v>
      </c>
      <c r="T438" s="1071" t="s">
        <v>410</v>
      </c>
      <c r="U438" s="1073">
        <f t="shared" si="20"/>
        <v>545000</v>
      </c>
      <c r="Z438" s="583">
        <v>18</v>
      </c>
      <c r="AF438" s="1011">
        <f>'사. 임직원보수 일람표'!M26</f>
        <v>545000</v>
      </c>
      <c r="AG438" s="1011">
        <f t="shared" si="21"/>
        <v>0</v>
      </c>
    </row>
    <row r="439" spans="1:33" ht="21.75" hidden="1" customHeight="1">
      <c r="A439" s="605"/>
      <c r="B439" s="606"/>
      <c r="C439" s="606"/>
      <c r="D439" s="607"/>
      <c r="E439" s="608"/>
      <c r="F439" s="609"/>
      <c r="G439" s="647"/>
      <c r="H439" s="642"/>
      <c r="I439" s="131"/>
      <c r="J439" s="131"/>
      <c r="K439" s="1037"/>
      <c r="L439" s="1088" t="s">
        <v>767</v>
      </c>
      <c r="M439" s="1064" t="s">
        <v>747</v>
      </c>
      <c r="N439" s="1064" t="s">
        <v>186</v>
      </c>
      <c r="O439" s="1009">
        <f>'사. 임직원보수 일람표'!K27</f>
        <v>22820</v>
      </c>
      <c r="P439" s="1069" t="s">
        <v>744</v>
      </c>
      <c r="Q439" s="1072">
        <v>5</v>
      </c>
      <c r="R439" s="1069" t="s">
        <v>744</v>
      </c>
      <c r="S439" s="1070">
        <v>9</v>
      </c>
      <c r="T439" s="1071" t="s">
        <v>410</v>
      </c>
      <c r="U439" s="1073">
        <f t="shared" si="20"/>
        <v>1026900</v>
      </c>
      <c r="Z439" s="583">
        <v>19</v>
      </c>
      <c r="AF439" s="1011">
        <f>'사. 임직원보수 일람표'!M27</f>
        <v>1026900</v>
      </c>
      <c r="AG439" s="1011">
        <f t="shared" si="21"/>
        <v>0</v>
      </c>
    </row>
    <row r="440" spans="1:33" ht="21.75" hidden="1" customHeight="1">
      <c r="A440" s="605"/>
      <c r="B440" s="606"/>
      <c r="C440" s="606"/>
      <c r="D440" s="607"/>
      <c r="E440" s="608"/>
      <c r="F440" s="609"/>
      <c r="G440" s="647"/>
      <c r="H440" s="642"/>
      <c r="I440" s="131"/>
      <c r="J440" s="131"/>
      <c r="K440" s="1037"/>
      <c r="L440" s="1088" t="s">
        <v>767</v>
      </c>
      <c r="M440" s="1064" t="s">
        <v>747</v>
      </c>
      <c r="N440" s="1064" t="s">
        <v>186</v>
      </c>
      <c r="O440" s="1009">
        <f>'사. 임직원보수 일람표'!K28</f>
        <v>23280</v>
      </c>
      <c r="P440" s="1069" t="s">
        <v>744</v>
      </c>
      <c r="Q440" s="1072">
        <v>5</v>
      </c>
      <c r="R440" s="1069" t="s">
        <v>744</v>
      </c>
      <c r="S440" s="1070">
        <v>3</v>
      </c>
      <c r="T440" s="1071" t="s">
        <v>410</v>
      </c>
      <c r="U440" s="1073">
        <f t="shared" si="20"/>
        <v>349200</v>
      </c>
      <c r="Z440" s="583">
        <v>20</v>
      </c>
      <c r="AF440" s="1011">
        <f>'사. 임직원보수 일람표'!M28</f>
        <v>349200</v>
      </c>
      <c r="AG440" s="1011">
        <f t="shared" si="21"/>
        <v>0</v>
      </c>
    </row>
    <row r="441" spans="1:33" ht="21.75" hidden="1" customHeight="1">
      <c r="A441" s="605"/>
      <c r="B441" s="606"/>
      <c r="C441" s="606"/>
      <c r="D441" s="607"/>
      <c r="E441" s="608"/>
      <c r="F441" s="609"/>
      <c r="G441" s="647"/>
      <c r="H441" s="642"/>
      <c r="I441" s="131"/>
      <c r="J441" s="131"/>
      <c r="K441" s="1037"/>
      <c r="L441" s="1088" t="s">
        <v>755</v>
      </c>
      <c r="M441" s="1064" t="s">
        <v>748</v>
      </c>
      <c r="N441" s="1064" t="s">
        <v>207</v>
      </c>
      <c r="O441" s="1009">
        <f>'사. 임직원보수 일람표'!K29</f>
        <v>19090</v>
      </c>
      <c r="P441" s="1069" t="s">
        <v>744</v>
      </c>
      <c r="Q441" s="1072">
        <v>5</v>
      </c>
      <c r="R441" s="1069" t="s">
        <v>744</v>
      </c>
      <c r="S441" s="1070">
        <v>7</v>
      </c>
      <c r="T441" s="1071" t="s">
        <v>410</v>
      </c>
      <c r="U441" s="1073">
        <f t="shared" si="20"/>
        <v>668150</v>
      </c>
      <c r="Z441" s="583">
        <v>21</v>
      </c>
      <c r="AF441" s="1011">
        <f>'사. 임직원보수 일람표'!M29</f>
        <v>668150</v>
      </c>
      <c r="AG441" s="1011">
        <f t="shared" si="21"/>
        <v>0</v>
      </c>
    </row>
    <row r="442" spans="1:33" ht="21.75" hidden="1" customHeight="1">
      <c r="A442" s="605"/>
      <c r="B442" s="606"/>
      <c r="C442" s="606"/>
      <c r="D442" s="607"/>
      <c r="E442" s="608"/>
      <c r="F442" s="609"/>
      <c r="G442" s="647"/>
      <c r="H442" s="642"/>
      <c r="I442" s="131"/>
      <c r="J442" s="131"/>
      <c r="K442" s="1037"/>
      <c r="L442" s="1088" t="s">
        <v>755</v>
      </c>
      <c r="M442" s="1064" t="s">
        <v>748</v>
      </c>
      <c r="N442" s="1064" t="s">
        <v>207</v>
      </c>
      <c r="O442" s="1009">
        <f>'사. 임직원보수 일람표'!K30</f>
        <v>19610</v>
      </c>
      <c r="P442" s="1069" t="s">
        <v>744</v>
      </c>
      <c r="Q442" s="1072">
        <v>5</v>
      </c>
      <c r="R442" s="1069" t="s">
        <v>744</v>
      </c>
      <c r="S442" s="1070">
        <v>5</v>
      </c>
      <c r="T442" s="1071" t="s">
        <v>410</v>
      </c>
      <c r="U442" s="1073">
        <f t="shared" si="20"/>
        <v>490250</v>
      </c>
      <c r="Z442" s="583">
        <v>22</v>
      </c>
      <c r="AF442" s="1011">
        <f>'사. 임직원보수 일람표'!M30</f>
        <v>490250</v>
      </c>
      <c r="AG442" s="1011">
        <f t="shared" si="21"/>
        <v>0</v>
      </c>
    </row>
    <row r="443" spans="1:33" ht="21.75" hidden="1" customHeight="1">
      <c r="A443" s="605"/>
      <c r="B443" s="606"/>
      <c r="C443" s="606"/>
      <c r="D443" s="607"/>
      <c r="E443" s="608"/>
      <c r="F443" s="609"/>
      <c r="G443" s="647"/>
      <c r="H443" s="642"/>
      <c r="I443" s="131"/>
      <c r="J443" s="131"/>
      <c r="K443" s="1037"/>
      <c r="L443" s="1088" t="s">
        <v>208</v>
      </c>
      <c r="M443" s="1064"/>
      <c r="N443" s="1064" t="s">
        <v>209</v>
      </c>
      <c r="O443" s="1009">
        <f>'사. 임직원보수 일람표'!K31</f>
        <v>18360</v>
      </c>
      <c r="P443" s="1069" t="s">
        <v>744</v>
      </c>
      <c r="Q443" s="1072">
        <v>5</v>
      </c>
      <c r="R443" s="1069" t="s">
        <v>744</v>
      </c>
      <c r="S443" s="1070">
        <v>3</v>
      </c>
      <c r="T443" s="1071" t="s">
        <v>410</v>
      </c>
      <c r="U443" s="1073">
        <f t="shared" si="20"/>
        <v>275400</v>
      </c>
      <c r="Z443" s="583">
        <v>23</v>
      </c>
      <c r="AF443" s="1011">
        <f>'사. 임직원보수 일람표'!M31</f>
        <v>275400</v>
      </c>
      <c r="AG443" s="1011">
        <f t="shared" si="21"/>
        <v>0</v>
      </c>
    </row>
    <row r="444" spans="1:33" ht="21.75" hidden="1" customHeight="1">
      <c r="A444" s="605"/>
      <c r="B444" s="606"/>
      <c r="C444" s="606"/>
      <c r="D444" s="607"/>
      <c r="E444" s="608"/>
      <c r="F444" s="609"/>
      <c r="G444" s="647"/>
      <c r="H444" s="642"/>
      <c r="I444" s="131"/>
      <c r="J444" s="131"/>
      <c r="K444" s="1037"/>
      <c r="L444" s="1088" t="s">
        <v>208</v>
      </c>
      <c r="M444" s="1064"/>
      <c r="N444" s="1064" t="s">
        <v>209</v>
      </c>
      <c r="O444" s="1009">
        <f>'사. 임직원보수 일람표'!K32</f>
        <v>18830</v>
      </c>
      <c r="P444" s="1069" t="s">
        <v>744</v>
      </c>
      <c r="Q444" s="1072">
        <v>5</v>
      </c>
      <c r="R444" s="1069" t="s">
        <v>744</v>
      </c>
      <c r="S444" s="1070">
        <v>9</v>
      </c>
      <c r="T444" s="1071" t="s">
        <v>410</v>
      </c>
      <c r="U444" s="1073">
        <f t="shared" si="20"/>
        <v>847350</v>
      </c>
      <c r="Z444" s="583">
        <v>24</v>
      </c>
      <c r="AF444" s="1011">
        <f>'사. 임직원보수 일람표'!M32</f>
        <v>847350</v>
      </c>
      <c r="AG444" s="1011">
        <f t="shared" si="21"/>
        <v>0</v>
      </c>
    </row>
    <row r="445" spans="1:33" ht="21.75" hidden="1" customHeight="1">
      <c r="A445" s="605"/>
      <c r="B445" s="606"/>
      <c r="C445" s="606"/>
      <c r="D445" s="607"/>
      <c r="E445" s="608"/>
      <c r="F445" s="609"/>
      <c r="G445" s="647"/>
      <c r="H445" s="642"/>
      <c r="I445" s="131"/>
      <c r="J445" s="131"/>
      <c r="K445" s="1037"/>
      <c r="L445" s="1088" t="s">
        <v>890</v>
      </c>
      <c r="M445" s="1064" t="s">
        <v>748</v>
      </c>
      <c r="N445" s="1064" t="s">
        <v>211</v>
      </c>
      <c r="O445" s="1009">
        <f>'사. 임직원보수 일람표'!K33</f>
        <v>17890</v>
      </c>
      <c r="P445" s="1069" t="s">
        <v>744</v>
      </c>
      <c r="Q445" s="1072">
        <v>5</v>
      </c>
      <c r="R445" s="1069" t="s">
        <v>744</v>
      </c>
      <c r="S445" s="1070">
        <v>1</v>
      </c>
      <c r="T445" s="1071" t="s">
        <v>410</v>
      </c>
      <c r="U445" s="1073">
        <f t="shared" si="20"/>
        <v>89450</v>
      </c>
      <c r="Z445" s="1010">
        <f>SUM(U420:U445)</f>
        <v>15928200</v>
      </c>
      <c r="AF445" s="1011">
        <f>'사. 임직원보수 일람표'!M33</f>
        <v>89450</v>
      </c>
      <c r="AG445" s="1011">
        <f t="shared" si="21"/>
        <v>0</v>
      </c>
    </row>
    <row r="446" spans="1:33" ht="21.75" hidden="1" customHeight="1">
      <c r="A446" s="605"/>
      <c r="B446" s="606"/>
      <c r="C446" s="606"/>
      <c r="D446" s="607"/>
      <c r="E446" s="608"/>
      <c r="F446" s="609"/>
      <c r="G446" s="647"/>
      <c r="H446" s="642"/>
      <c r="I446" s="131"/>
      <c r="J446" s="131"/>
      <c r="K446" s="1037"/>
      <c r="L446" s="1088" t="s">
        <v>890</v>
      </c>
      <c r="M446" s="1064" t="s">
        <v>748</v>
      </c>
      <c r="N446" s="1064" t="s">
        <v>211</v>
      </c>
      <c r="O446" s="1009">
        <f>'사. 임직원보수 일람표'!K34</f>
        <v>18360</v>
      </c>
      <c r="P446" s="1069" t="s">
        <v>744</v>
      </c>
      <c r="Q446" s="1072">
        <v>5</v>
      </c>
      <c r="R446" s="1069" t="s">
        <v>744</v>
      </c>
      <c r="S446" s="1070">
        <v>11</v>
      </c>
      <c r="T446" s="1071" t="s">
        <v>410</v>
      </c>
      <c r="U446" s="1073">
        <f t="shared" si="20"/>
        <v>1009800</v>
      </c>
      <c r="Z446" s="1010">
        <f>SUM(U446:U446)</f>
        <v>1009800</v>
      </c>
      <c r="AF446" s="1011">
        <f>'사. 임직원보수 일람표'!M34</f>
        <v>1009800</v>
      </c>
      <c r="AG446" s="1011">
        <f t="shared" si="21"/>
        <v>0</v>
      </c>
    </row>
    <row r="447" spans="1:33" ht="21.75" hidden="1" customHeight="1">
      <c r="A447" s="605"/>
      <c r="B447" s="606"/>
      <c r="C447" s="606"/>
      <c r="D447" s="607"/>
      <c r="E447" s="608"/>
      <c r="F447" s="609"/>
      <c r="G447" s="647"/>
      <c r="H447" s="642"/>
      <c r="I447" s="131"/>
      <c r="J447" s="131"/>
      <c r="K447" s="1037"/>
      <c r="L447" s="1088" t="s">
        <v>890</v>
      </c>
      <c r="M447" s="1064"/>
      <c r="N447" s="1064" t="s">
        <v>213</v>
      </c>
      <c r="O447" s="1009">
        <f>'사. 임직원보수 일람표'!K37</f>
        <v>16970</v>
      </c>
      <c r="P447" s="1069" t="s">
        <v>744</v>
      </c>
      <c r="Q447" s="1072">
        <v>5</v>
      </c>
      <c r="R447" s="1069" t="s">
        <v>744</v>
      </c>
      <c r="S447" s="1070">
        <v>4</v>
      </c>
      <c r="T447" s="1071" t="s">
        <v>410</v>
      </c>
      <c r="U447" s="1073">
        <f t="shared" si="20"/>
        <v>339400</v>
      </c>
      <c r="Z447" s="1010"/>
      <c r="AF447" s="1011">
        <f>'사. 임직원보수 일람표'!M37</f>
        <v>339400</v>
      </c>
      <c r="AG447" s="1011">
        <f t="shared" si="21"/>
        <v>0</v>
      </c>
    </row>
    <row r="448" spans="1:33" ht="21.75" hidden="1" customHeight="1">
      <c r="A448" s="605"/>
      <c r="B448" s="606"/>
      <c r="C448" s="606"/>
      <c r="D448" s="607"/>
      <c r="E448" s="608"/>
      <c r="F448" s="609"/>
      <c r="G448" s="647"/>
      <c r="H448" s="642"/>
      <c r="I448" s="131"/>
      <c r="J448" s="131"/>
      <c r="K448" s="1037"/>
      <c r="L448" s="1088" t="s">
        <v>890</v>
      </c>
      <c r="M448" s="1064"/>
      <c r="N448" s="1064" t="s">
        <v>213</v>
      </c>
      <c r="O448" s="1009">
        <f>'사. 임직원보수 일람표'!K38</f>
        <v>17430</v>
      </c>
      <c r="P448" s="1069" t="s">
        <v>744</v>
      </c>
      <c r="Q448" s="1072">
        <v>5</v>
      </c>
      <c r="R448" s="1069" t="s">
        <v>744</v>
      </c>
      <c r="S448" s="1070">
        <v>8</v>
      </c>
      <c r="T448" s="1071" t="s">
        <v>410</v>
      </c>
      <c r="U448" s="1073">
        <f t="shared" si="20"/>
        <v>697200</v>
      </c>
      <c r="Z448" s="1010"/>
      <c r="AF448" s="1011">
        <f>'사. 임직원보수 일람표'!M38</f>
        <v>697200</v>
      </c>
      <c r="AG448" s="1011">
        <f t="shared" si="21"/>
        <v>0</v>
      </c>
    </row>
    <row r="449" spans="1:33" ht="21.75" hidden="1" customHeight="1">
      <c r="A449" s="605"/>
      <c r="B449" s="606"/>
      <c r="C449" s="606"/>
      <c r="D449" s="607"/>
      <c r="E449" s="608"/>
      <c r="F449" s="609"/>
      <c r="G449" s="647"/>
      <c r="H449" s="642"/>
      <c r="I449" s="131"/>
      <c r="J449" s="131"/>
      <c r="K449" s="1037"/>
      <c r="L449" s="1088" t="s">
        <v>890</v>
      </c>
      <c r="M449" s="1064" t="s">
        <v>748</v>
      </c>
      <c r="N449" s="1064" t="s">
        <v>217</v>
      </c>
      <c r="O449" s="1009">
        <f>'사. 임직원보수 일람표'!K41</f>
        <v>18830</v>
      </c>
      <c r="P449" s="1069" t="s">
        <v>744</v>
      </c>
      <c r="Q449" s="1072">
        <v>5</v>
      </c>
      <c r="R449" s="1069" t="s">
        <v>744</v>
      </c>
      <c r="S449" s="1070">
        <v>10</v>
      </c>
      <c r="T449" s="1071" t="s">
        <v>410</v>
      </c>
      <c r="U449" s="1073">
        <f t="shared" si="20"/>
        <v>941500</v>
      </c>
      <c r="Z449" s="1010"/>
      <c r="AF449" s="1011">
        <f>'사. 임직원보수 일람표'!M41</f>
        <v>941500</v>
      </c>
      <c r="AG449" s="1011">
        <f t="shared" si="21"/>
        <v>0</v>
      </c>
    </row>
    <row r="450" spans="1:33" ht="21.75" hidden="1" customHeight="1">
      <c r="A450" s="605"/>
      <c r="B450" s="606"/>
      <c r="C450" s="606"/>
      <c r="D450" s="607"/>
      <c r="E450" s="608"/>
      <c r="F450" s="609"/>
      <c r="G450" s="647"/>
      <c r="H450" s="642"/>
      <c r="I450" s="131"/>
      <c r="J450" s="131"/>
      <c r="K450" s="1037"/>
      <c r="L450" s="1088" t="s">
        <v>890</v>
      </c>
      <c r="M450" s="1064" t="s">
        <v>748</v>
      </c>
      <c r="N450" s="1064" t="s">
        <v>217</v>
      </c>
      <c r="O450" s="1009">
        <f>'사. 임직원보수 일람표'!K42</f>
        <v>19260</v>
      </c>
      <c r="P450" s="1069" t="s">
        <v>744</v>
      </c>
      <c r="Q450" s="1072">
        <v>5</v>
      </c>
      <c r="R450" s="1069" t="s">
        <v>744</v>
      </c>
      <c r="S450" s="1070">
        <v>2</v>
      </c>
      <c r="T450" s="1071" t="s">
        <v>410</v>
      </c>
      <c r="U450" s="1073">
        <f t="shared" si="20"/>
        <v>192600</v>
      </c>
      <c r="Z450" s="1010"/>
      <c r="AF450" s="1011">
        <f>'사. 임직원보수 일람표'!M42</f>
        <v>192600</v>
      </c>
      <c r="AG450" s="1011">
        <f t="shared" si="21"/>
        <v>0</v>
      </c>
    </row>
    <row r="451" spans="1:33" ht="21.75" hidden="1" customHeight="1">
      <c r="A451" s="605"/>
      <c r="B451" s="606"/>
      <c r="C451" s="606"/>
      <c r="D451" s="607"/>
      <c r="E451" s="608"/>
      <c r="F451" s="609"/>
      <c r="G451" s="647"/>
      <c r="H451" s="642"/>
      <c r="I451" s="131"/>
      <c r="J451" s="131"/>
      <c r="K451" s="1037"/>
      <c r="L451" s="1088" t="s">
        <v>890</v>
      </c>
      <c r="M451" s="1064" t="s">
        <v>748</v>
      </c>
      <c r="N451" s="1064" t="s">
        <v>218</v>
      </c>
      <c r="O451" s="1009">
        <f>'사. 임직원보수 일람표'!K43</f>
        <v>17430</v>
      </c>
      <c r="P451" s="1069" t="s">
        <v>744</v>
      </c>
      <c r="Q451" s="1072">
        <v>5</v>
      </c>
      <c r="R451" s="1069" t="s">
        <v>744</v>
      </c>
      <c r="S451" s="1070">
        <v>4</v>
      </c>
      <c r="T451" s="1071" t="s">
        <v>410</v>
      </c>
      <c r="U451" s="1073">
        <f t="shared" si="20"/>
        <v>348600</v>
      </c>
      <c r="Z451" s="1010"/>
      <c r="AF451" s="1011">
        <f>'사. 임직원보수 일람표'!M43</f>
        <v>348600</v>
      </c>
      <c r="AG451" s="1011">
        <f t="shared" si="21"/>
        <v>0</v>
      </c>
    </row>
    <row r="452" spans="1:33" ht="21.75" hidden="1" customHeight="1">
      <c r="A452" s="605"/>
      <c r="B452" s="606"/>
      <c r="C452" s="606"/>
      <c r="D452" s="607"/>
      <c r="E452" s="608"/>
      <c r="F452" s="609"/>
      <c r="G452" s="647"/>
      <c r="H452" s="642"/>
      <c r="I452" s="131"/>
      <c r="J452" s="131"/>
      <c r="K452" s="1037"/>
      <c r="L452" s="1088" t="s">
        <v>890</v>
      </c>
      <c r="M452" s="1064" t="s">
        <v>748</v>
      </c>
      <c r="N452" s="1064" t="s">
        <v>218</v>
      </c>
      <c r="O452" s="1009">
        <f>'사. 임직원보수 일람표'!K44</f>
        <v>19330</v>
      </c>
      <c r="P452" s="1069" t="s">
        <v>744</v>
      </c>
      <c r="Q452" s="1072">
        <v>5</v>
      </c>
      <c r="R452" s="1069" t="s">
        <v>744</v>
      </c>
      <c r="S452" s="1070">
        <v>8</v>
      </c>
      <c r="T452" s="1071" t="s">
        <v>410</v>
      </c>
      <c r="U452" s="1073">
        <f t="shared" ref="U452:U468" si="22">O452*Q452*S452</f>
        <v>773200</v>
      </c>
      <c r="Z452" s="1010"/>
      <c r="AF452" s="1011">
        <f>'사. 임직원보수 일람표'!M44</f>
        <v>773200</v>
      </c>
      <c r="AG452" s="1011">
        <f t="shared" ref="AG452:AG468" si="23">U452-AF452</f>
        <v>0</v>
      </c>
    </row>
    <row r="453" spans="1:33" ht="21.75" hidden="1" customHeight="1">
      <c r="A453" s="605"/>
      <c r="B453" s="606"/>
      <c r="C453" s="606"/>
      <c r="D453" s="607"/>
      <c r="E453" s="608"/>
      <c r="F453" s="609"/>
      <c r="G453" s="647"/>
      <c r="H453" s="642"/>
      <c r="I453" s="131"/>
      <c r="J453" s="131"/>
      <c r="K453" s="1037"/>
      <c r="L453" s="1088" t="s">
        <v>890</v>
      </c>
      <c r="M453" s="1064" t="s">
        <v>748</v>
      </c>
      <c r="N453" s="1064" t="s">
        <v>219</v>
      </c>
      <c r="O453" s="1009">
        <f>'사. 임직원보수 일람표'!K45</f>
        <v>16540</v>
      </c>
      <c r="P453" s="1069" t="s">
        <v>744</v>
      </c>
      <c r="Q453" s="1072">
        <v>5</v>
      </c>
      <c r="R453" s="1069" t="s">
        <v>744</v>
      </c>
      <c r="S453" s="1070">
        <v>3</v>
      </c>
      <c r="T453" s="1071" t="s">
        <v>410</v>
      </c>
      <c r="U453" s="1073">
        <f t="shared" si="22"/>
        <v>248100</v>
      </c>
      <c r="Z453" s="1010"/>
      <c r="AF453" s="1011">
        <f>'사. 임직원보수 일람표'!M45</f>
        <v>248100</v>
      </c>
      <c r="AG453" s="1011">
        <f t="shared" si="23"/>
        <v>0</v>
      </c>
    </row>
    <row r="454" spans="1:33" ht="21.75" hidden="1" customHeight="1">
      <c r="A454" s="605"/>
      <c r="B454" s="606"/>
      <c r="C454" s="606"/>
      <c r="D454" s="607"/>
      <c r="E454" s="608"/>
      <c r="F454" s="609"/>
      <c r="G454" s="647"/>
      <c r="H454" s="642"/>
      <c r="I454" s="131"/>
      <c r="J454" s="131"/>
      <c r="K454" s="1037"/>
      <c r="L454" s="1088" t="s">
        <v>890</v>
      </c>
      <c r="M454" s="1064" t="s">
        <v>748</v>
      </c>
      <c r="N454" s="1064" t="s">
        <v>219</v>
      </c>
      <c r="O454" s="1009">
        <f>'사. 임직원보수 일람표'!K46</f>
        <v>16970</v>
      </c>
      <c r="P454" s="1069" t="s">
        <v>744</v>
      </c>
      <c r="Q454" s="1072">
        <v>5</v>
      </c>
      <c r="R454" s="1069" t="s">
        <v>744</v>
      </c>
      <c r="S454" s="1070">
        <v>9</v>
      </c>
      <c r="T454" s="1071" t="s">
        <v>410</v>
      </c>
      <c r="U454" s="1073">
        <f t="shared" si="22"/>
        <v>763650</v>
      </c>
      <c r="Z454" s="1010"/>
      <c r="AF454" s="1011">
        <f>'사. 임직원보수 일람표'!M46</f>
        <v>763650</v>
      </c>
      <c r="AG454" s="1011">
        <f t="shared" si="23"/>
        <v>0</v>
      </c>
    </row>
    <row r="455" spans="1:33" ht="21.75" hidden="1" customHeight="1">
      <c r="A455" s="605"/>
      <c r="B455" s="606"/>
      <c r="C455" s="606"/>
      <c r="D455" s="607"/>
      <c r="E455" s="608"/>
      <c r="F455" s="609"/>
      <c r="G455" s="647"/>
      <c r="H455" s="642"/>
      <c r="I455" s="131"/>
      <c r="J455" s="131"/>
      <c r="K455" s="1037"/>
      <c r="L455" s="1088" t="s">
        <v>890</v>
      </c>
      <c r="M455" s="1064"/>
      <c r="N455" s="1064" t="s">
        <v>891</v>
      </c>
      <c r="O455" s="1009">
        <f>'사. 임직원보수 일람표'!K47</f>
        <v>16540</v>
      </c>
      <c r="P455" s="1069" t="s">
        <v>744</v>
      </c>
      <c r="Q455" s="1072">
        <v>5</v>
      </c>
      <c r="R455" s="1069" t="s">
        <v>744</v>
      </c>
      <c r="S455" s="1070">
        <v>3</v>
      </c>
      <c r="T455" s="1071" t="s">
        <v>410</v>
      </c>
      <c r="U455" s="1073">
        <f t="shared" si="22"/>
        <v>248100</v>
      </c>
      <c r="Z455" s="1010"/>
      <c r="AF455" s="1011">
        <f>'사. 임직원보수 일람표'!M47</f>
        <v>248100</v>
      </c>
      <c r="AG455" s="1011">
        <f t="shared" si="23"/>
        <v>0</v>
      </c>
    </row>
    <row r="456" spans="1:33" ht="21.75" hidden="1" customHeight="1">
      <c r="A456" s="605"/>
      <c r="B456" s="606"/>
      <c r="C456" s="606"/>
      <c r="D456" s="607"/>
      <c r="E456" s="608"/>
      <c r="F456" s="609"/>
      <c r="G456" s="647"/>
      <c r="H456" s="642"/>
      <c r="I456" s="131"/>
      <c r="J456" s="131"/>
      <c r="K456" s="1037"/>
      <c r="L456" s="1088" t="s">
        <v>890</v>
      </c>
      <c r="M456" s="1064"/>
      <c r="N456" s="1064" t="s">
        <v>891</v>
      </c>
      <c r="O456" s="1009">
        <f>'사. 임직원보수 일람표'!K48</f>
        <v>16970</v>
      </c>
      <c r="P456" s="1069" t="s">
        <v>744</v>
      </c>
      <c r="Q456" s="1072">
        <v>5</v>
      </c>
      <c r="R456" s="1069" t="s">
        <v>744</v>
      </c>
      <c r="S456" s="1070">
        <v>9</v>
      </c>
      <c r="T456" s="1071" t="s">
        <v>410</v>
      </c>
      <c r="U456" s="1073">
        <f t="shared" si="22"/>
        <v>763650</v>
      </c>
      <c r="Z456" s="1010"/>
      <c r="AF456" s="1011">
        <f>'사. 임직원보수 일람표'!M48</f>
        <v>763650</v>
      </c>
      <c r="AG456" s="1011">
        <f t="shared" si="23"/>
        <v>0</v>
      </c>
    </row>
    <row r="457" spans="1:33" ht="21.75" hidden="1" customHeight="1">
      <c r="A457" s="605"/>
      <c r="B457" s="606"/>
      <c r="C457" s="606"/>
      <c r="D457" s="607"/>
      <c r="E457" s="608"/>
      <c r="F457" s="609"/>
      <c r="G457" s="647"/>
      <c r="H457" s="642"/>
      <c r="I457" s="131"/>
      <c r="J457" s="131"/>
      <c r="K457" s="1037"/>
      <c r="L457" s="1088" t="s">
        <v>890</v>
      </c>
      <c r="M457" s="1064"/>
      <c r="N457" s="1064" t="s">
        <v>224</v>
      </c>
      <c r="O457" s="1009">
        <f>'사. 임직원보수 일람표'!K51</f>
        <v>16970</v>
      </c>
      <c r="P457" s="1069" t="s">
        <v>744</v>
      </c>
      <c r="Q457" s="1072">
        <v>5</v>
      </c>
      <c r="R457" s="1069" t="s">
        <v>744</v>
      </c>
      <c r="S457" s="1070">
        <v>2</v>
      </c>
      <c r="T457" s="1071" t="s">
        <v>410</v>
      </c>
      <c r="U457" s="1073">
        <f t="shared" si="22"/>
        <v>169700</v>
      </c>
      <c r="Z457" s="1010"/>
      <c r="AF457" s="1011">
        <f>'사. 임직원보수 일람표'!M51</f>
        <v>169700</v>
      </c>
      <c r="AG457" s="1011">
        <f t="shared" si="23"/>
        <v>0</v>
      </c>
    </row>
    <row r="458" spans="1:33" ht="21.75" hidden="1" customHeight="1">
      <c r="A458" s="605"/>
      <c r="B458" s="606"/>
      <c r="C458" s="606"/>
      <c r="D458" s="607"/>
      <c r="E458" s="608"/>
      <c r="F458" s="609"/>
      <c r="G458" s="647"/>
      <c r="H458" s="642"/>
      <c r="I458" s="131"/>
      <c r="J458" s="131"/>
      <c r="K458" s="1037"/>
      <c r="L458" s="1088" t="s">
        <v>890</v>
      </c>
      <c r="M458" s="1064"/>
      <c r="N458" s="1064" t="s">
        <v>224</v>
      </c>
      <c r="O458" s="1009">
        <f>'사. 임직원보수 일람표'!K52</f>
        <v>17430</v>
      </c>
      <c r="P458" s="1069" t="s">
        <v>744</v>
      </c>
      <c r="Q458" s="1072">
        <v>5</v>
      </c>
      <c r="R458" s="1069" t="s">
        <v>744</v>
      </c>
      <c r="S458" s="1070">
        <v>10</v>
      </c>
      <c r="T458" s="1071" t="s">
        <v>410</v>
      </c>
      <c r="U458" s="1073">
        <f t="shared" si="22"/>
        <v>871500</v>
      </c>
      <c r="Z458" s="1010"/>
      <c r="AF458" s="1011">
        <f>'사. 임직원보수 일람표'!M52</f>
        <v>871500</v>
      </c>
      <c r="AG458" s="1011">
        <f t="shared" si="23"/>
        <v>0</v>
      </c>
    </row>
    <row r="459" spans="1:33" ht="21.75" hidden="1" customHeight="1">
      <c r="A459" s="605"/>
      <c r="B459" s="606"/>
      <c r="C459" s="606"/>
      <c r="D459" s="607"/>
      <c r="E459" s="608"/>
      <c r="F459" s="609"/>
      <c r="G459" s="647"/>
      <c r="H459" s="642"/>
      <c r="I459" s="131"/>
      <c r="J459" s="131"/>
      <c r="K459" s="1037"/>
      <c r="L459" s="1088" t="s">
        <v>890</v>
      </c>
      <c r="M459" s="1064"/>
      <c r="N459" s="1064" t="s">
        <v>892</v>
      </c>
      <c r="O459" s="1009">
        <f>'사. 임직원보수 일람표'!K53</f>
        <v>17430</v>
      </c>
      <c r="P459" s="1069" t="s">
        <v>744</v>
      </c>
      <c r="Q459" s="1072">
        <v>5</v>
      </c>
      <c r="R459" s="1069" t="s">
        <v>744</v>
      </c>
      <c r="S459" s="1070">
        <v>5</v>
      </c>
      <c r="T459" s="1071" t="s">
        <v>410</v>
      </c>
      <c r="U459" s="1073">
        <f t="shared" si="22"/>
        <v>435750</v>
      </c>
      <c r="Z459" s="1010"/>
      <c r="AF459" s="1011">
        <f>'사. 임직원보수 일람표'!M53</f>
        <v>435750</v>
      </c>
      <c r="AG459" s="1011">
        <f t="shared" si="23"/>
        <v>0</v>
      </c>
    </row>
    <row r="460" spans="1:33" ht="21.75" hidden="1" customHeight="1">
      <c r="A460" s="605"/>
      <c r="B460" s="606"/>
      <c r="C460" s="606"/>
      <c r="D460" s="607"/>
      <c r="E460" s="608"/>
      <c r="F460" s="609"/>
      <c r="G460" s="647"/>
      <c r="H460" s="642"/>
      <c r="I460" s="131"/>
      <c r="J460" s="131"/>
      <c r="K460" s="1037"/>
      <c r="L460" s="1088" t="s">
        <v>890</v>
      </c>
      <c r="M460" s="1064"/>
      <c r="N460" s="1064" t="s">
        <v>892</v>
      </c>
      <c r="O460" s="1009">
        <f>'사. 임직원보수 일람표'!K54</f>
        <v>17890</v>
      </c>
      <c r="P460" s="1069" t="s">
        <v>744</v>
      </c>
      <c r="Q460" s="1072">
        <v>5</v>
      </c>
      <c r="R460" s="1069" t="s">
        <v>744</v>
      </c>
      <c r="S460" s="1070">
        <v>7</v>
      </c>
      <c r="T460" s="1071" t="s">
        <v>410</v>
      </c>
      <c r="U460" s="1073">
        <f t="shared" si="22"/>
        <v>626150</v>
      </c>
      <c r="Z460" s="1010"/>
      <c r="AF460" s="1011">
        <f>'사. 임직원보수 일람표'!M54</f>
        <v>626150</v>
      </c>
      <c r="AG460" s="1011">
        <f t="shared" si="23"/>
        <v>0</v>
      </c>
    </row>
    <row r="461" spans="1:33" ht="21.75" hidden="1" customHeight="1">
      <c r="A461" s="605"/>
      <c r="B461" s="606"/>
      <c r="C461" s="606"/>
      <c r="D461" s="607"/>
      <c r="E461" s="608"/>
      <c r="F461" s="609"/>
      <c r="G461" s="647"/>
      <c r="H461" s="642"/>
      <c r="I461" s="131"/>
      <c r="J461" s="131"/>
      <c r="K461" s="1037"/>
      <c r="L461" s="1088" t="s">
        <v>890</v>
      </c>
      <c r="M461" s="1064"/>
      <c r="N461" s="1064" t="s">
        <v>227</v>
      </c>
      <c r="O461" s="1009">
        <f>'사. 임직원보수 일람표'!K57</f>
        <v>16540</v>
      </c>
      <c r="P461" s="1069" t="s">
        <v>744</v>
      </c>
      <c r="Q461" s="1072">
        <v>5</v>
      </c>
      <c r="R461" s="1069" t="s">
        <v>744</v>
      </c>
      <c r="S461" s="1070">
        <v>6</v>
      </c>
      <c r="T461" s="1071" t="s">
        <v>410</v>
      </c>
      <c r="U461" s="1073">
        <f t="shared" si="22"/>
        <v>496200</v>
      </c>
      <c r="Z461" s="1010"/>
      <c r="AF461" s="1011">
        <f>'사. 임직원보수 일람표'!M57</f>
        <v>496200</v>
      </c>
      <c r="AG461" s="1011">
        <f t="shared" si="23"/>
        <v>0</v>
      </c>
    </row>
    <row r="462" spans="1:33" ht="21.75" hidden="1" customHeight="1">
      <c r="A462" s="605"/>
      <c r="B462" s="606"/>
      <c r="C462" s="606"/>
      <c r="D462" s="607"/>
      <c r="E462" s="608"/>
      <c r="F462" s="609"/>
      <c r="G462" s="647"/>
      <c r="H462" s="642"/>
      <c r="I462" s="131"/>
      <c r="J462" s="131"/>
      <c r="K462" s="1037"/>
      <c r="L462" s="1088" t="s">
        <v>890</v>
      </c>
      <c r="M462" s="1064"/>
      <c r="N462" s="1064" t="s">
        <v>227</v>
      </c>
      <c r="O462" s="1009">
        <f>'사. 임직원보수 일람표'!K58</f>
        <v>16970</v>
      </c>
      <c r="P462" s="1069" t="s">
        <v>744</v>
      </c>
      <c r="Q462" s="1072">
        <v>5</v>
      </c>
      <c r="R462" s="1069" t="s">
        <v>744</v>
      </c>
      <c r="S462" s="1070">
        <v>6</v>
      </c>
      <c r="T462" s="1071" t="s">
        <v>410</v>
      </c>
      <c r="U462" s="1073">
        <f t="shared" si="22"/>
        <v>509100</v>
      </c>
      <c r="Z462" s="1010"/>
      <c r="AF462" s="1011">
        <f>'사. 임직원보수 일람표'!M58</f>
        <v>509100</v>
      </c>
      <c r="AG462" s="1011">
        <f t="shared" si="23"/>
        <v>0</v>
      </c>
    </row>
    <row r="463" spans="1:33" ht="21.75" hidden="1" customHeight="1">
      <c r="A463" s="605"/>
      <c r="B463" s="606"/>
      <c r="C463" s="606"/>
      <c r="D463" s="607"/>
      <c r="E463" s="608"/>
      <c r="F463" s="609"/>
      <c r="G463" s="647"/>
      <c r="H463" s="642"/>
      <c r="I463" s="131"/>
      <c r="J463" s="131"/>
      <c r="K463" s="1037"/>
      <c r="L463" s="1088" t="s">
        <v>890</v>
      </c>
      <c r="M463" s="1064"/>
      <c r="N463" s="1064" t="s">
        <v>242</v>
      </c>
      <c r="O463" s="1009">
        <f>'사. 임직원보수 일람표'!K81</f>
        <v>14690</v>
      </c>
      <c r="P463" s="1069" t="s">
        <v>744</v>
      </c>
      <c r="Q463" s="1072">
        <v>5</v>
      </c>
      <c r="R463" s="1069" t="s">
        <v>744</v>
      </c>
      <c r="S463" s="1070">
        <v>3</v>
      </c>
      <c r="T463" s="1071" t="s">
        <v>410</v>
      </c>
      <c r="U463" s="1073">
        <f t="shared" si="22"/>
        <v>220350</v>
      </c>
      <c r="Z463" s="1010"/>
      <c r="AF463" s="1011">
        <f>'사. 임직원보수 일람표'!M81</f>
        <v>220350</v>
      </c>
      <c r="AG463" s="1011">
        <f t="shared" si="23"/>
        <v>0</v>
      </c>
    </row>
    <row r="464" spans="1:33" ht="21.75" hidden="1" customHeight="1">
      <c r="A464" s="605"/>
      <c r="B464" s="606"/>
      <c r="C464" s="606"/>
      <c r="D464" s="607"/>
      <c r="E464" s="608"/>
      <c r="F464" s="609"/>
      <c r="G464" s="647"/>
      <c r="H464" s="642"/>
      <c r="I464" s="131"/>
      <c r="J464" s="131"/>
      <c r="K464" s="1037"/>
      <c r="L464" s="1088" t="s">
        <v>890</v>
      </c>
      <c r="M464" s="1064"/>
      <c r="N464" s="1064" t="s">
        <v>242</v>
      </c>
      <c r="O464" s="1009">
        <f>'사. 임직원보수 일람표'!K82</f>
        <v>15140</v>
      </c>
      <c r="P464" s="1069" t="s">
        <v>744</v>
      </c>
      <c r="Q464" s="1072">
        <v>5</v>
      </c>
      <c r="R464" s="1069" t="s">
        <v>744</v>
      </c>
      <c r="S464" s="1070">
        <v>9</v>
      </c>
      <c r="T464" s="1071" t="s">
        <v>410</v>
      </c>
      <c r="U464" s="1073">
        <f t="shared" si="22"/>
        <v>681300</v>
      </c>
      <c r="Z464" s="1010"/>
      <c r="AF464" s="1011">
        <f>'사. 임직원보수 일람표'!M82</f>
        <v>681300</v>
      </c>
      <c r="AG464" s="1011">
        <f t="shared" si="23"/>
        <v>0</v>
      </c>
    </row>
    <row r="465" spans="1:33" ht="21.75" hidden="1" customHeight="1">
      <c r="A465" s="605"/>
      <c r="B465" s="606"/>
      <c r="C465" s="606"/>
      <c r="D465" s="607"/>
      <c r="E465" s="608"/>
      <c r="F465" s="609"/>
      <c r="G465" s="647"/>
      <c r="H465" s="642"/>
      <c r="I465" s="131"/>
      <c r="J465" s="131"/>
      <c r="K465" s="1037"/>
      <c r="L465" s="1088" t="s">
        <v>251</v>
      </c>
      <c r="M465" s="1064"/>
      <c r="N465" s="1064" t="s">
        <v>250</v>
      </c>
      <c r="O465" s="1009">
        <f>'사. 임직원보수 일람표'!K111</f>
        <v>16210</v>
      </c>
      <c r="P465" s="1069" t="s">
        <v>744</v>
      </c>
      <c r="Q465" s="1072">
        <v>5</v>
      </c>
      <c r="R465" s="1069" t="s">
        <v>744</v>
      </c>
      <c r="S465" s="1070">
        <v>8</v>
      </c>
      <c r="T465" s="1071" t="s">
        <v>410</v>
      </c>
      <c r="U465" s="1073">
        <f t="shared" si="22"/>
        <v>648400</v>
      </c>
      <c r="Z465" s="1010"/>
      <c r="AF465" s="1011">
        <f>'사. 임직원보수 일람표'!M111</f>
        <v>648400</v>
      </c>
      <c r="AG465" s="1011">
        <f t="shared" si="23"/>
        <v>0</v>
      </c>
    </row>
    <row r="466" spans="1:33" ht="21.75" hidden="1" customHeight="1">
      <c r="A466" s="605"/>
      <c r="B466" s="606"/>
      <c r="C466" s="606"/>
      <c r="D466" s="607"/>
      <c r="E466" s="608"/>
      <c r="F466" s="609"/>
      <c r="G466" s="647"/>
      <c r="H466" s="642"/>
      <c r="I466" s="131"/>
      <c r="J466" s="131"/>
      <c r="K466" s="1037"/>
      <c r="L466" s="1088" t="s">
        <v>251</v>
      </c>
      <c r="M466" s="1064"/>
      <c r="N466" s="1064" t="s">
        <v>250</v>
      </c>
      <c r="O466" s="1009">
        <f>'사. 임직원보수 일람표'!K112</f>
        <v>16550</v>
      </c>
      <c r="P466" s="1069" t="s">
        <v>744</v>
      </c>
      <c r="Q466" s="1072">
        <v>5</v>
      </c>
      <c r="R466" s="1069" t="s">
        <v>744</v>
      </c>
      <c r="S466" s="1070">
        <v>4</v>
      </c>
      <c r="T466" s="1071" t="s">
        <v>410</v>
      </c>
      <c r="U466" s="1073">
        <f t="shared" si="22"/>
        <v>331000</v>
      </c>
      <c r="Z466" s="1010"/>
      <c r="AF466" s="1011">
        <f>'사. 임직원보수 일람표'!M112</f>
        <v>331000</v>
      </c>
      <c r="AG466" s="1011">
        <f t="shared" si="23"/>
        <v>0</v>
      </c>
    </row>
    <row r="467" spans="1:33" ht="21.75" hidden="1" customHeight="1">
      <c r="A467" s="605"/>
      <c r="B467" s="606"/>
      <c r="C467" s="606"/>
      <c r="D467" s="607"/>
      <c r="E467" s="608"/>
      <c r="F467" s="609"/>
      <c r="G467" s="647"/>
      <c r="H467" s="642"/>
      <c r="I467" s="131"/>
      <c r="J467" s="131"/>
      <c r="K467" s="1037"/>
      <c r="L467" s="1088" t="s">
        <v>893</v>
      </c>
      <c r="M467" s="1075" t="s">
        <v>894</v>
      </c>
      <c r="N467" s="1064" t="s">
        <v>366</v>
      </c>
      <c r="O467" s="1009">
        <f>'사. 임직원보수 일람표'!K134</f>
        <v>17890</v>
      </c>
      <c r="P467" s="1069" t="s">
        <v>744</v>
      </c>
      <c r="Q467" s="1072">
        <v>5</v>
      </c>
      <c r="R467" s="1069" t="s">
        <v>744</v>
      </c>
      <c r="S467" s="1070">
        <v>8</v>
      </c>
      <c r="T467" s="1071" t="s">
        <v>410</v>
      </c>
      <c r="U467" s="1073">
        <f t="shared" si="22"/>
        <v>715600</v>
      </c>
      <c r="Z467" s="1010"/>
      <c r="AF467" s="1011">
        <f>'사. 임직원보수 일람표'!M134</f>
        <v>715600</v>
      </c>
      <c r="AG467" s="1011">
        <f t="shared" si="23"/>
        <v>0</v>
      </c>
    </row>
    <row r="468" spans="1:33" ht="21.75" hidden="1" customHeight="1">
      <c r="A468" s="605"/>
      <c r="B468" s="606"/>
      <c r="C468" s="606"/>
      <c r="D468" s="607"/>
      <c r="E468" s="608"/>
      <c r="F468" s="609"/>
      <c r="G468" s="647"/>
      <c r="H468" s="642"/>
      <c r="I468" s="131"/>
      <c r="J468" s="131"/>
      <c r="K468" s="1037"/>
      <c r="L468" s="1088" t="s">
        <v>893</v>
      </c>
      <c r="M468" s="1075" t="s">
        <v>894</v>
      </c>
      <c r="N468" s="1064" t="s">
        <v>366</v>
      </c>
      <c r="O468" s="1009">
        <f>'사. 임직원보수 일람표'!K135</f>
        <v>18360</v>
      </c>
      <c r="P468" s="1069" t="s">
        <v>744</v>
      </c>
      <c r="Q468" s="1072">
        <v>5</v>
      </c>
      <c r="R468" s="1069" t="s">
        <v>744</v>
      </c>
      <c r="S468" s="1070">
        <v>4</v>
      </c>
      <c r="T468" s="1071" t="s">
        <v>410</v>
      </c>
      <c r="U468" s="1073">
        <f t="shared" si="22"/>
        <v>367200</v>
      </c>
      <c r="Z468" s="1010"/>
      <c r="AF468" s="1011">
        <f>'사. 임직원보수 일람표'!M135</f>
        <v>367200</v>
      </c>
      <c r="AG468" s="1011">
        <f t="shared" si="23"/>
        <v>0</v>
      </c>
    </row>
    <row r="469" spans="1:33" ht="21.75" customHeight="1">
      <c r="A469" s="605"/>
      <c r="B469" s="606"/>
      <c r="C469" s="606"/>
      <c r="D469" s="607"/>
      <c r="E469" s="608"/>
      <c r="F469" s="609"/>
      <c r="G469" s="647"/>
      <c r="H469" s="642"/>
      <c r="I469" s="131"/>
      <c r="J469" s="131"/>
      <c r="K469" s="1037"/>
      <c r="L469" s="1350" t="s">
        <v>284</v>
      </c>
      <c r="M469" s="1351"/>
      <c r="N469" s="1351"/>
      <c r="O469" s="1091"/>
      <c r="P469" s="1092"/>
      <c r="Q469" s="1093"/>
      <c r="R469" s="1092"/>
      <c r="S469" s="1094"/>
      <c r="T469" s="1095"/>
      <c r="U469" s="1155">
        <f>SUM(U470:Y481)</f>
        <v>19000000</v>
      </c>
      <c r="V469" s="582">
        <f>'사. 임직원보수 일람표'!N202</f>
        <v>19000000</v>
      </c>
      <c r="Z469" s="1011">
        <f>'사. 임직원보수 일람표'!M150</f>
        <v>0</v>
      </c>
    </row>
    <row r="470" spans="1:33" ht="21.75" hidden="1" customHeight="1">
      <c r="A470" s="605"/>
      <c r="B470" s="606"/>
      <c r="C470" s="606"/>
      <c r="D470" s="607"/>
      <c r="E470" s="608"/>
      <c r="F470" s="609"/>
      <c r="G470" s="647"/>
      <c r="H470" s="642"/>
      <c r="I470" s="131"/>
      <c r="J470" s="131"/>
      <c r="K470" s="1037"/>
      <c r="L470" s="1088" t="s">
        <v>161</v>
      </c>
      <c r="M470" s="1064" t="s">
        <v>161</v>
      </c>
      <c r="N470" s="1064" t="s">
        <v>162</v>
      </c>
      <c r="O470" s="1074">
        <v>300000</v>
      </c>
      <c r="P470" s="1069" t="s">
        <v>744</v>
      </c>
      <c r="Q470" s="1089">
        <v>1</v>
      </c>
      <c r="R470" s="1069" t="s">
        <v>744</v>
      </c>
      <c r="S470" s="1070">
        <v>12</v>
      </c>
      <c r="T470" s="1071" t="s">
        <v>410</v>
      </c>
      <c r="U470" s="1090">
        <f t="shared" ref="U470:U481" si="24">O470*S470</f>
        <v>3600000</v>
      </c>
      <c r="Z470" s="583">
        <v>1</v>
      </c>
    </row>
    <row r="471" spans="1:33" ht="21.75" hidden="1" customHeight="1">
      <c r="A471" s="605"/>
      <c r="B471" s="606"/>
      <c r="C471" s="606"/>
      <c r="D471" s="607"/>
      <c r="E471" s="608"/>
      <c r="F471" s="609"/>
      <c r="G471" s="647"/>
      <c r="H471" s="642"/>
      <c r="I471" s="131"/>
      <c r="J471" s="131"/>
      <c r="K471" s="1037"/>
      <c r="L471" s="1088" t="s">
        <v>174</v>
      </c>
      <c r="M471" s="1064" t="s">
        <v>174</v>
      </c>
      <c r="N471" s="1064" t="s">
        <v>175</v>
      </c>
      <c r="O471" s="1009">
        <v>200000</v>
      </c>
      <c r="P471" s="1069" t="s">
        <v>744</v>
      </c>
      <c r="Q471" s="1089">
        <v>1</v>
      </c>
      <c r="R471" s="1069" t="s">
        <v>744</v>
      </c>
      <c r="S471" s="1070">
        <v>12</v>
      </c>
      <c r="T471" s="1071" t="s">
        <v>410</v>
      </c>
      <c r="U471" s="1090">
        <f t="shared" si="24"/>
        <v>2400000</v>
      </c>
      <c r="Z471" s="583">
        <v>2</v>
      </c>
    </row>
    <row r="472" spans="1:33" ht="21.75" hidden="1" customHeight="1">
      <c r="A472" s="605"/>
      <c r="B472" s="606"/>
      <c r="C472" s="606"/>
      <c r="D472" s="607"/>
      <c r="E472" s="608"/>
      <c r="F472" s="609"/>
      <c r="G472" s="647"/>
      <c r="H472" s="642"/>
      <c r="I472" s="131"/>
      <c r="J472" s="131"/>
      <c r="K472" s="1037"/>
      <c r="L472" s="1088" t="s">
        <v>749</v>
      </c>
      <c r="M472" s="1064" t="s">
        <v>747</v>
      </c>
      <c r="N472" s="1064" t="s">
        <v>182</v>
      </c>
      <c r="O472" s="1009">
        <v>150000</v>
      </c>
      <c r="P472" s="1069" t="s">
        <v>744</v>
      </c>
      <c r="Q472" s="1089">
        <v>1</v>
      </c>
      <c r="R472" s="1069" t="s">
        <v>744</v>
      </c>
      <c r="S472" s="1070">
        <v>12</v>
      </c>
      <c r="T472" s="1071" t="s">
        <v>410</v>
      </c>
      <c r="U472" s="1090">
        <f t="shared" si="24"/>
        <v>1800000</v>
      </c>
      <c r="Z472" s="583">
        <v>3</v>
      </c>
    </row>
    <row r="473" spans="1:33" ht="21.75" hidden="1" customHeight="1">
      <c r="A473" s="605"/>
      <c r="B473" s="606"/>
      <c r="C473" s="606"/>
      <c r="D473" s="607"/>
      <c r="E473" s="608"/>
      <c r="F473" s="609"/>
      <c r="G473" s="647"/>
      <c r="H473" s="642"/>
      <c r="I473" s="131"/>
      <c r="J473" s="131"/>
      <c r="K473" s="1037"/>
      <c r="L473" s="1088" t="s">
        <v>750</v>
      </c>
      <c r="M473" s="1064" t="s">
        <v>748</v>
      </c>
      <c r="N473" s="1064" t="s">
        <v>188</v>
      </c>
      <c r="O473" s="1009">
        <v>100000</v>
      </c>
      <c r="P473" s="1069" t="s">
        <v>744</v>
      </c>
      <c r="Q473" s="1089">
        <v>1</v>
      </c>
      <c r="R473" s="1069" t="s">
        <v>744</v>
      </c>
      <c r="S473" s="1070">
        <v>12</v>
      </c>
      <c r="T473" s="1071" t="s">
        <v>410</v>
      </c>
      <c r="U473" s="1090">
        <f t="shared" si="24"/>
        <v>1200000</v>
      </c>
      <c r="Z473" s="583">
        <v>4</v>
      </c>
    </row>
    <row r="474" spans="1:33" ht="21.75" hidden="1" customHeight="1">
      <c r="A474" s="605"/>
      <c r="B474" s="606"/>
      <c r="C474" s="606"/>
      <c r="D474" s="607"/>
      <c r="E474" s="608"/>
      <c r="F474" s="609"/>
      <c r="G474" s="647"/>
      <c r="H474" s="642"/>
      <c r="I474" s="131"/>
      <c r="J474" s="131"/>
      <c r="K474" s="1037"/>
      <c r="L474" s="1088" t="s">
        <v>755</v>
      </c>
      <c r="M474" s="1064" t="s">
        <v>748</v>
      </c>
      <c r="N474" s="1064" t="s">
        <v>203</v>
      </c>
      <c r="O474" s="1009">
        <v>100000</v>
      </c>
      <c r="P474" s="1069" t="s">
        <v>744</v>
      </c>
      <c r="Q474" s="1089">
        <v>1</v>
      </c>
      <c r="R474" s="1069" t="s">
        <v>744</v>
      </c>
      <c r="S474" s="1070">
        <v>12</v>
      </c>
      <c r="T474" s="1071" t="s">
        <v>410</v>
      </c>
      <c r="U474" s="1090">
        <f t="shared" si="24"/>
        <v>1200000</v>
      </c>
      <c r="Z474" s="583">
        <v>5</v>
      </c>
    </row>
    <row r="475" spans="1:33" ht="21.75" hidden="1" customHeight="1">
      <c r="A475" s="605"/>
      <c r="B475" s="606"/>
      <c r="C475" s="606"/>
      <c r="D475" s="607"/>
      <c r="E475" s="608"/>
      <c r="F475" s="609"/>
      <c r="G475" s="647"/>
      <c r="H475" s="642"/>
      <c r="I475" s="131"/>
      <c r="J475" s="131"/>
      <c r="K475" s="1037"/>
      <c r="L475" s="1088" t="s">
        <v>193</v>
      </c>
      <c r="M475" s="1064" t="s">
        <v>748</v>
      </c>
      <c r="N475" s="1064" t="s">
        <v>192</v>
      </c>
      <c r="O475" s="1009">
        <v>100000</v>
      </c>
      <c r="P475" s="1069" t="s">
        <v>744</v>
      </c>
      <c r="Q475" s="1089">
        <v>1</v>
      </c>
      <c r="R475" s="1069" t="s">
        <v>744</v>
      </c>
      <c r="S475" s="1070">
        <v>10</v>
      </c>
      <c r="T475" s="1071" t="s">
        <v>410</v>
      </c>
      <c r="U475" s="1090">
        <f t="shared" si="24"/>
        <v>1000000</v>
      </c>
      <c r="Z475" s="583">
        <v>6</v>
      </c>
    </row>
    <row r="476" spans="1:33" ht="21.75" hidden="1" customHeight="1">
      <c r="A476" s="605"/>
      <c r="B476" s="606"/>
      <c r="C476" s="606"/>
      <c r="D476" s="607"/>
      <c r="E476" s="608"/>
      <c r="F476" s="609"/>
      <c r="G476" s="647"/>
      <c r="H476" s="642"/>
      <c r="I476" s="131"/>
      <c r="J476" s="131"/>
      <c r="K476" s="1037"/>
      <c r="L476" s="1088" t="s">
        <v>767</v>
      </c>
      <c r="M476" s="1064" t="s">
        <v>747</v>
      </c>
      <c r="N476" s="1064" t="s">
        <v>186</v>
      </c>
      <c r="O476" s="1009">
        <v>150000</v>
      </c>
      <c r="P476" s="1069" t="s">
        <v>744</v>
      </c>
      <c r="Q476" s="1089">
        <v>1</v>
      </c>
      <c r="R476" s="1069" t="s">
        <v>744</v>
      </c>
      <c r="S476" s="1070">
        <v>12</v>
      </c>
      <c r="T476" s="1071" t="s">
        <v>410</v>
      </c>
      <c r="U476" s="1090">
        <f t="shared" si="24"/>
        <v>1800000</v>
      </c>
      <c r="Z476" s="583">
        <v>12</v>
      </c>
    </row>
    <row r="477" spans="1:33" ht="21.75" hidden="1" customHeight="1">
      <c r="A477" s="605"/>
      <c r="B477" s="606"/>
      <c r="C477" s="606"/>
      <c r="D477" s="607"/>
      <c r="E477" s="608"/>
      <c r="F477" s="609"/>
      <c r="G477" s="647"/>
      <c r="H477" s="642"/>
      <c r="I477" s="131"/>
      <c r="J477" s="131"/>
      <c r="K477" s="1037"/>
      <c r="L477" s="1088" t="s">
        <v>755</v>
      </c>
      <c r="M477" s="1064" t="s">
        <v>748</v>
      </c>
      <c r="N477" s="1064" t="s">
        <v>207</v>
      </c>
      <c r="O477" s="1009">
        <v>100000</v>
      </c>
      <c r="P477" s="1069" t="s">
        <v>744</v>
      </c>
      <c r="Q477" s="1089">
        <v>1</v>
      </c>
      <c r="R477" s="1069" t="s">
        <v>744</v>
      </c>
      <c r="S477" s="1070">
        <v>12</v>
      </c>
      <c r="T477" s="1071" t="s">
        <v>410</v>
      </c>
      <c r="U477" s="1090">
        <f t="shared" si="24"/>
        <v>1200000</v>
      </c>
      <c r="Z477" s="583">
        <v>13</v>
      </c>
    </row>
    <row r="478" spans="1:33" ht="21.75" hidden="1" customHeight="1">
      <c r="A478" s="605"/>
      <c r="B478" s="606"/>
      <c r="C478" s="606"/>
      <c r="D478" s="607"/>
      <c r="E478" s="608"/>
      <c r="F478" s="609"/>
      <c r="G478" s="647"/>
      <c r="H478" s="642"/>
      <c r="I478" s="131"/>
      <c r="J478" s="131"/>
      <c r="K478" s="1037"/>
      <c r="L478" s="1088" t="s">
        <v>210</v>
      </c>
      <c r="M478" s="1064" t="s">
        <v>748</v>
      </c>
      <c r="N478" s="1064" t="s">
        <v>211</v>
      </c>
      <c r="O478" s="1009">
        <v>100000</v>
      </c>
      <c r="P478" s="1069" t="s">
        <v>744</v>
      </c>
      <c r="Q478" s="1089">
        <v>1</v>
      </c>
      <c r="R478" s="1069" t="s">
        <v>744</v>
      </c>
      <c r="S478" s="1070">
        <v>12</v>
      </c>
      <c r="T478" s="1071" t="s">
        <v>410</v>
      </c>
      <c r="U478" s="1090">
        <f t="shared" si="24"/>
        <v>1200000</v>
      </c>
      <c r="Z478" s="583">
        <v>15</v>
      </c>
    </row>
    <row r="479" spans="1:33" ht="21.75" hidden="1" customHeight="1">
      <c r="A479" s="605"/>
      <c r="B479" s="606"/>
      <c r="C479" s="606"/>
      <c r="D479" s="607"/>
      <c r="E479" s="608"/>
      <c r="F479" s="609"/>
      <c r="G479" s="647"/>
      <c r="H479" s="642"/>
      <c r="I479" s="131"/>
      <c r="J479" s="131"/>
      <c r="K479" s="1037"/>
      <c r="L479" s="1088" t="s">
        <v>210</v>
      </c>
      <c r="M479" s="1064" t="s">
        <v>748</v>
      </c>
      <c r="N479" s="1064" t="s">
        <v>217</v>
      </c>
      <c r="O479" s="1009">
        <v>100000</v>
      </c>
      <c r="P479" s="1069" t="s">
        <v>744</v>
      </c>
      <c r="Q479" s="1089">
        <v>1</v>
      </c>
      <c r="R479" s="1069" t="s">
        <v>744</v>
      </c>
      <c r="S479" s="1070">
        <v>12</v>
      </c>
      <c r="T479" s="1071" t="s">
        <v>410</v>
      </c>
      <c r="U479" s="1090">
        <f t="shared" si="24"/>
        <v>1200000</v>
      </c>
      <c r="Z479" s="583">
        <v>17</v>
      </c>
    </row>
    <row r="480" spans="1:33" ht="21.75" hidden="1" customHeight="1">
      <c r="A480" s="605"/>
      <c r="B480" s="606"/>
      <c r="C480" s="606"/>
      <c r="D480" s="607"/>
      <c r="E480" s="608"/>
      <c r="F480" s="609"/>
      <c r="G480" s="647"/>
      <c r="H480" s="642"/>
      <c r="I480" s="131"/>
      <c r="J480" s="131"/>
      <c r="K480" s="1037"/>
      <c r="L480" s="1088" t="s">
        <v>210</v>
      </c>
      <c r="M480" s="1064" t="s">
        <v>748</v>
      </c>
      <c r="N480" s="1064" t="s">
        <v>218</v>
      </c>
      <c r="O480" s="1009">
        <v>100000</v>
      </c>
      <c r="P480" s="1069" t="s">
        <v>744</v>
      </c>
      <c r="Q480" s="1089">
        <v>1</v>
      </c>
      <c r="R480" s="1069" t="s">
        <v>744</v>
      </c>
      <c r="S480" s="1070">
        <v>12</v>
      </c>
      <c r="T480" s="1071" t="s">
        <v>410</v>
      </c>
      <c r="U480" s="1090">
        <f t="shared" si="24"/>
        <v>1200000</v>
      </c>
      <c r="Z480" s="583">
        <v>18</v>
      </c>
    </row>
    <row r="481" spans="1:26" ht="21.75" hidden="1" customHeight="1">
      <c r="A481" s="605"/>
      <c r="B481" s="606"/>
      <c r="C481" s="606"/>
      <c r="D481" s="607"/>
      <c r="E481" s="608"/>
      <c r="F481" s="609"/>
      <c r="G481" s="647"/>
      <c r="H481" s="642"/>
      <c r="I481" s="131"/>
      <c r="J481" s="131"/>
      <c r="K481" s="1037"/>
      <c r="L481" s="1088" t="s">
        <v>210</v>
      </c>
      <c r="M481" s="1064" t="s">
        <v>748</v>
      </c>
      <c r="N481" s="1064" t="s">
        <v>219</v>
      </c>
      <c r="O481" s="1009">
        <v>100000</v>
      </c>
      <c r="P481" s="1069" t="s">
        <v>744</v>
      </c>
      <c r="Q481" s="1089">
        <v>1</v>
      </c>
      <c r="R481" s="1069" t="s">
        <v>744</v>
      </c>
      <c r="S481" s="1070">
        <v>12</v>
      </c>
      <c r="T481" s="1071" t="s">
        <v>410</v>
      </c>
      <c r="U481" s="1090">
        <f t="shared" si="24"/>
        <v>1200000</v>
      </c>
      <c r="Z481" s="583">
        <v>19</v>
      </c>
    </row>
    <row r="482" spans="1:26" ht="21.75" customHeight="1">
      <c r="A482" s="605"/>
      <c r="B482" s="606"/>
      <c r="C482" s="1012" t="s">
        <v>115</v>
      </c>
      <c r="D482" s="1013">
        <v>164978100</v>
      </c>
      <c r="E482" s="1014">
        <f>SUM(H482:K482)</f>
        <v>187840130</v>
      </c>
      <c r="F482" s="1014">
        <f>E482-D482</f>
        <v>22862030</v>
      </c>
      <c r="G482" s="1015">
        <f>F482/D482*100</f>
        <v>13.857615041026659</v>
      </c>
      <c r="H482" s="1016">
        <f>U483</f>
        <v>186006790</v>
      </c>
      <c r="I482" s="1017">
        <f>U484</f>
        <v>1583340</v>
      </c>
      <c r="J482" s="1017">
        <v>0</v>
      </c>
      <c r="K482" s="1036">
        <f>후원금세출!F26</f>
        <v>250000</v>
      </c>
      <c r="L482" s="1339" t="s">
        <v>957</v>
      </c>
      <c r="M482" s="1340"/>
      <c r="N482" s="1340"/>
      <c r="O482" s="1156"/>
      <c r="P482" s="1156"/>
      <c r="Q482" s="1156"/>
      <c r="R482" s="1156"/>
      <c r="S482" s="1156"/>
      <c r="T482" s="1156"/>
      <c r="U482" s="1157">
        <f>SUM(U483:U485)</f>
        <v>187840130</v>
      </c>
      <c r="V482" s="582">
        <f>'사. 임직원보수 일람표'!P202</f>
        <v>187840130</v>
      </c>
      <c r="W482" s="582">
        <f>U482-V482</f>
        <v>0</v>
      </c>
      <c r="Z482" s="1011" t="e">
        <f>'사. 임직원보수 일람표'!#REF!</f>
        <v>#REF!</v>
      </c>
    </row>
    <row r="483" spans="1:26" ht="21.75" customHeight="1">
      <c r="A483" s="605"/>
      <c r="B483" s="606"/>
      <c r="C483" s="606"/>
      <c r="D483" s="607"/>
      <c r="E483" s="608"/>
      <c r="F483" s="609"/>
      <c r="G483" s="647"/>
      <c r="H483" s="642"/>
      <c r="I483" s="131"/>
      <c r="J483" s="131"/>
      <c r="K483" s="1037"/>
      <c r="L483" s="1088"/>
      <c r="M483" s="1064"/>
      <c r="N483" s="1064" t="s">
        <v>840</v>
      </c>
      <c r="O483" s="1349">
        <f>H9+H135-U108</f>
        <v>2232077050</v>
      </c>
      <c r="P483" s="1349"/>
      <c r="Q483" s="1349"/>
      <c r="R483" s="1098" t="s">
        <v>744</v>
      </c>
      <c r="S483" s="1018" t="s">
        <v>839</v>
      </c>
      <c r="T483" s="1071" t="s">
        <v>410</v>
      </c>
      <c r="U483" s="1079">
        <f>ROUNDUP(O483*1/12,-1)+360</f>
        <v>186006790</v>
      </c>
      <c r="Z483" s="1011"/>
    </row>
    <row r="484" spans="1:26" ht="21.75" customHeight="1">
      <c r="A484" s="605"/>
      <c r="B484" s="606"/>
      <c r="C484" s="606"/>
      <c r="D484" s="607"/>
      <c r="E484" s="608"/>
      <c r="F484" s="609"/>
      <c r="G484" s="647"/>
      <c r="H484" s="642"/>
      <c r="I484" s="131"/>
      <c r="J484" s="131"/>
      <c r="K484" s="1037"/>
      <c r="L484" s="1088"/>
      <c r="M484" s="1064"/>
      <c r="N484" s="1064" t="s">
        <v>841</v>
      </c>
      <c r="O484" s="1349">
        <v>19000000</v>
      </c>
      <c r="P484" s="1349"/>
      <c r="Q484" s="1349"/>
      <c r="R484" s="1098" t="s">
        <v>744</v>
      </c>
      <c r="S484" s="1018" t="s">
        <v>839</v>
      </c>
      <c r="T484" s="1071" t="s">
        <v>410</v>
      </c>
      <c r="U484" s="1079">
        <f>ROUNDUP(O484*1/12,-1)</f>
        <v>1583340</v>
      </c>
      <c r="Z484" s="1011"/>
    </row>
    <row r="485" spans="1:26" ht="21.75" customHeight="1">
      <c r="A485" s="605"/>
      <c r="B485" s="606"/>
      <c r="C485" s="606"/>
      <c r="D485" s="607"/>
      <c r="E485" s="608"/>
      <c r="F485" s="609"/>
      <c r="G485" s="647"/>
      <c r="H485" s="642"/>
      <c r="I485" s="131"/>
      <c r="J485" s="131"/>
      <c r="K485" s="1037"/>
      <c r="L485" s="1088"/>
      <c r="M485" s="1064"/>
      <c r="N485" s="1064" t="s">
        <v>833</v>
      </c>
      <c r="O485" s="1349">
        <f>K9</f>
        <v>3000000</v>
      </c>
      <c r="P485" s="1349"/>
      <c r="Q485" s="1349"/>
      <c r="R485" s="1098" t="s">
        <v>744</v>
      </c>
      <c r="S485" s="1018" t="s">
        <v>839</v>
      </c>
      <c r="T485" s="1071" t="s">
        <v>410</v>
      </c>
      <c r="U485" s="1079">
        <f>ROUNDUP(O485*1/12,-1)</f>
        <v>250000</v>
      </c>
      <c r="Z485" s="1011"/>
    </row>
    <row r="486" spans="1:26" ht="21.75" customHeight="1">
      <c r="A486" s="605"/>
      <c r="B486" s="606"/>
      <c r="C486" s="1012" t="s">
        <v>116</v>
      </c>
      <c r="D486" s="1013">
        <v>187693290</v>
      </c>
      <c r="E486" s="1014">
        <f>SUM(H486:K486)</f>
        <v>222130020.35329375</v>
      </c>
      <c r="F486" s="1014">
        <f>E486-D486</f>
        <v>34436730.353293747</v>
      </c>
      <c r="G486" s="1015">
        <f>F486/D486*100</f>
        <v>18.347342280213503</v>
      </c>
      <c r="H486" s="1016">
        <f>U487+U488+U489+U490+U491+1</f>
        <v>220152630.10329375</v>
      </c>
      <c r="I486" s="1017">
        <f>U492+U493+U494+U495+U496</f>
        <v>1676580.125</v>
      </c>
      <c r="J486" s="1017">
        <v>0</v>
      </c>
      <c r="K486" s="1036">
        <f>U497+U498+U499+U500+U501</f>
        <v>300810.125</v>
      </c>
      <c r="L486" s="1339" t="s">
        <v>956</v>
      </c>
      <c r="M486" s="1340"/>
      <c r="N486" s="1340"/>
      <c r="O486" s="1099"/>
      <c r="P486" s="1100"/>
      <c r="Q486" s="1101"/>
      <c r="R486" s="1100"/>
      <c r="S486" s="1102"/>
      <c r="T486" s="1103"/>
      <c r="U486" s="1130">
        <f>SUM(U487:U501)+1</f>
        <v>222130020.35329375</v>
      </c>
      <c r="V486" s="582">
        <f>SUM(V487:V501)</f>
        <v>222130020</v>
      </c>
      <c r="W486" s="582">
        <f>SUM(H486:K486)</f>
        <v>222130020.35329375</v>
      </c>
      <c r="Z486" s="1011" t="e">
        <f>'사. 임직원보수 일람표'!#REF!</f>
        <v>#REF!</v>
      </c>
    </row>
    <row r="487" spans="1:26" ht="21.75" customHeight="1">
      <c r="A487" s="605"/>
      <c r="B487" s="606"/>
      <c r="C487" s="606"/>
      <c r="D487" s="607"/>
      <c r="E487" s="608"/>
      <c r="F487" s="609"/>
      <c r="G487" s="647"/>
      <c r="H487" s="642"/>
      <c r="I487" s="131"/>
      <c r="J487" s="131"/>
      <c r="K487" s="1037"/>
      <c r="L487" s="1106" t="s">
        <v>840</v>
      </c>
      <c r="M487" s="1352" t="s">
        <v>842</v>
      </c>
      <c r="N487" s="1352"/>
      <c r="O487" s="1355">
        <f>O483-'사. 임직원보수 일람표'!H5-'사. 임직원보수 일람표'!H6-'사. 임직원보수 일람표'!O5-'사. 임직원보수 일람표'!O6</f>
        <v>2174510700</v>
      </c>
      <c r="P487" s="1355"/>
      <c r="Q487" s="1355"/>
      <c r="R487" s="1107" t="s">
        <v>744</v>
      </c>
      <c r="S487" s="1019">
        <v>4.4999999999999998E-2</v>
      </c>
      <c r="T487" s="1108" t="s">
        <v>410</v>
      </c>
      <c r="U487" s="1109">
        <f>O487*S487+58</f>
        <v>97853039.5</v>
      </c>
      <c r="V487" s="582">
        <f>'사. 임직원보수 일람표'!Q123+'사. 임직원보수 일람표'!Q136+'사. 임직원보수 일람표'!Q169</f>
        <v>97853040</v>
      </c>
      <c r="W487" s="582">
        <f t="shared" ref="W487:W501" si="25">U487-V487</f>
        <v>-0.5</v>
      </c>
      <c r="Z487" s="1011"/>
    </row>
    <row r="488" spans="1:26" ht="21.75" customHeight="1">
      <c r="A488" s="605"/>
      <c r="B488" s="606"/>
      <c r="C488" s="606"/>
      <c r="D488" s="607"/>
      <c r="E488" s="608"/>
      <c r="F488" s="609"/>
      <c r="G488" s="647"/>
      <c r="H488" s="642"/>
      <c r="I488" s="131"/>
      <c r="J488" s="131"/>
      <c r="K488" s="1037"/>
      <c r="L488" s="1088"/>
      <c r="M488" s="1348" t="s">
        <v>853</v>
      </c>
      <c r="N488" s="1348"/>
      <c r="O488" s="1349">
        <f>O483</f>
        <v>2232077050</v>
      </c>
      <c r="P488" s="1349"/>
      <c r="Q488" s="1349"/>
      <c r="R488" s="1098" t="s">
        <v>744</v>
      </c>
      <c r="S488" s="1110">
        <v>3.3349999999999998E-2</v>
      </c>
      <c r="T488" s="1071" t="s">
        <v>410</v>
      </c>
      <c r="U488" s="1090">
        <f>O488*S488+660</f>
        <v>74440429.617499992</v>
      </c>
      <c r="V488" s="582">
        <f>'사. 임직원보수 일람표'!R169+'사. 임직원보수 일람표'!R136+'사. 임직원보수 일람표'!R123</f>
        <v>74440430</v>
      </c>
      <c r="W488" s="582">
        <f t="shared" si="25"/>
        <v>-0.38250000774860382</v>
      </c>
      <c r="Z488" s="1011"/>
    </row>
    <row r="489" spans="1:26" ht="21.75" customHeight="1">
      <c r="A489" s="605"/>
      <c r="B489" s="606"/>
      <c r="C489" s="606"/>
      <c r="D489" s="607"/>
      <c r="E489" s="608"/>
      <c r="F489" s="609"/>
      <c r="G489" s="647"/>
      <c r="H489" s="642"/>
      <c r="I489" s="131"/>
      <c r="J489" s="131"/>
      <c r="K489" s="1037"/>
      <c r="L489" s="1088"/>
      <c r="M489" s="1348" t="s">
        <v>882</v>
      </c>
      <c r="N489" s="1348"/>
      <c r="O489" s="1345">
        <f>U488</f>
        <v>74440429.617499992</v>
      </c>
      <c r="P489" s="1345"/>
      <c r="Q489" s="1345"/>
      <c r="R489" s="1098" t="s">
        <v>744</v>
      </c>
      <c r="S489" s="1111">
        <v>0.10249999999999999</v>
      </c>
      <c r="T489" s="1071" t="s">
        <v>410</v>
      </c>
      <c r="U489" s="1090">
        <f>O489*S489+596</f>
        <v>7630740.0357937487</v>
      </c>
      <c r="V489" s="582">
        <f>'사. 임직원보수 일람표'!S123+'사. 임직원보수 일람표'!S136+'사. 임직원보수 일람표'!S169</f>
        <v>7630740</v>
      </c>
      <c r="W489" s="582">
        <f t="shared" si="25"/>
        <v>3.5793748684227467E-2</v>
      </c>
      <c r="Z489" s="1011"/>
    </row>
    <row r="490" spans="1:26" ht="21.75" customHeight="1">
      <c r="A490" s="605"/>
      <c r="B490" s="606"/>
      <c r="C490" s="606"/>
      <c r="D490" s="607"/>
      <c r="E490" s="608"/>
      <c r="F490" s="609"/>
      <c r="G490" s="647"/>
      <c r="H490" s="642"/>
      <c r="I490" s="131"/>
      <c r="J490" s="131"/>
      <c r="K490" s="1037"/>
      <c r="L490" s="1088"/>
      <c r="M490" s="1348" t="s">
        <v>843</v>
      </c>
      <c r="N490" s="1348"/>
      <c r="O490" s="1345">
        <f>O487</f>
        <v>2174510700</v>
      </c>
      <c r="P490" s="1345"/>
      <c r="Q490" s="1345"/>
      <c r="R490" s="1098" t="s">
        <v>744</v>
      </c>
      <c r="S490" s="1111">
        <v>1.0500000000000001E-2</v>
      </c>
      <c r="T490" s="1071" t="s">
        <v>410</v>
      </c>
      <c r="U490" s="1090">
        <f>O490*S490-42</f>
        <v>22832320.350000001</v>
      </c>
      <c r="V490" s="582">
        <f>'사. 임직원보수 일람표'!T169+'사. 임직원보수 일람표'!T136+'사. 임직원보수 일람표'!T123</f>
        <v>22832320</v>
      </c>
      <c r="W490" s="582">
        <f t="shared" si="25"/>
        <v>0.35000000149011612</v>
      </c>
      <c r="Z490" s="1011"/>
    </row>
    <row r="491" spans="1:26" ht="21.75" customHeight="1">
      <c r="A491" s="605"/>
      <c r="B491" s="606"/>
      <c r="C491" s="606"/>
      <c r="D491" s="607"/>
      <c r="E491" s="608"/>
      <c r="F491" s="609"/>
      <c r="G491" s="647"/>
      <c r="H491" s="642"/>
      <c r="I491" s="131"/>
      <c r="J491" s="131"/>
      <c r="K491" s="1037"/>
      <c r="L491" s="1088"/>
      <c r="M491" s="1348" t="s">
        <v>844</v>
      </c>
      <c r="N491" s="1348"/>
      <c r="O491" s="1345">
        <f>O490</f>
        <v>2174510700</v>
      </c>
      <c r="P491" s="1345"/>
      <c r="Q491" s="1345"/>
      <c r="R491" s="1098" t="s">
        <v>744</v>
      </c>
      <c r="S491" s="1111">
        <v>8.0000000000000002E-3</v>
      </c>
      <c r="T491" s="1071" t="s">
        <v>410</v>
      </c>
      <c r="U491" s="1090">
        <f>O491*S491+14</f>
        <v>17396099.600000001</v>
      </c>
      <c r="V491" s="582">
        <f>'사. 임직원보수 일람표'!U123+'사. 임직원보수 일람표'!U136+'사. 임직원보수 일람표'!U169</f>
        <v>17396100</v>
      </c>
      <c r="W491" s="582">
        <f t="shared" si="25"/>
        <v>-0.39999999850988388</v>
      </c>
      <c r="Z491" s="1011"/>
    </row>
    <row r="492" spans="1:26" ht="21.75" customHeight="1">
      <c r="A492" s="605"/>
      <c r="B492" s="606"/>
      <c r="C492" s="606"/>
      <c r="D492" s="607"/>
      <c r="E492" s="608"/>
      <c r="F492" s="609"/>
      <c r="G492" s="647"/>
      <c r="H492" s="642"/>
      <c r="I492" s="131"/>
      <c r="J492" s="131"/>
      <c r="K492" s="1037"/>
      <c r="L492" s="1088" t="s">
        <v>90</v>
      </c>
      <c r="M492" s="1348" t="s">
        <v>168</v>
      </c>
      <c r="N492" s="1348"/>
      <c r="O492" s="1349">
        <f>O495</f>
        <v>15400000</v>
      </c>
      <c r="P492" s="1349"/>
      <c r="Q492" s="1349"/>
      <c r="R492" s="1098" t="s">
        <v>744</v>
      </c>
      <c r="S492" s="1111">
        <v>4.4999999999999998E-2</v>
      </c>
      <c r="T492" s="1071" t="s">
        <v>410</v>
      </c>
      <c r="U492" s="1090">
        <f>O492*S492</f>
        <v>693000</v>
      </c>
      <c r="V492" s="582">
        <f>'사. 임직원보수 일람표'!Q191</f>
        <v>693000</v>
      </c>
      <c r="W492" s="582">
        <f t="shared" si="25"/>
        <v>0</v>
      </c>
      <c r="Z492" s="1011"/>
    </row>
    <row r="493" spans="1:26" ht="21.75" customHeight="1">
      <c r="A493" s="605"/>
      <c r="B493" s="606"/>
      <c r="C493" s="606"/>
      <c r="D493" s="607"/>
      <c r="E493" s="608"/>
      <c r="F493" s="609"/>
      <c r="G493" s="647"/>
      <c r="H493" s="642"/>
      <c r="I493" s="131"/>
      <c r="J493" s="131"/>
      <c r="K493" s="1037"/>
      <c r="L493" s="1088"/>
      <c r="M493" s="1348" t="s">
        <v>853</v>
      </c>
      <c r="N493" s="1348"/>
      <c r="O493" s="1349">
        <f>'사. 임직원보수 일람표'!O191</f>
        <v>19000000</v>
      </c>
      <c r="P493" s="1349"/>
      <c r="Q493" s="1349"/>
      <c r="R493" s="1098" t="s">
        <v>838</v>
      </c>
      <c r="S493" s="1110">
        <v>3.3349999999999998E-2</v>
      </c>
      <c r="T493" s="1071" t="s">
        <v>689</v>
      </c>
      <c r="U493" s="1090">
        <f>O493*S493</f>
        <v>633650</v>
      </c>
      <c r="V493" s="582">
        <f>'사. 임직원보수 일람표'!R191</f>
        <v>633650</v>
      </c>
      <c r="W493" s="582">
        <f t="shared" si="25"/>
        <v>0</v>
      </c>
      <c r="Z493" s="1011"/>
    </row>
    <row r="494" spans="1:26" ht="21.75" customHeight="1">
      <c r="A494" s="605"/>
      <c r="B494" s="606"/>
      <c r="C494" s="606"/>
      <c r="D494" s="607"/>
      <c r="E494" s="608"/>
      <c r="F494" s="609"/>
      <c r="G494" s="647"/>
      <c r="H494" s="642"/>
      <c r="I494" s="131"/>
      <c r="J494" s="131"/>
      <c r="K494" s="1037"/>
      <c r="L494" s="1088"/>
      <c r="M494" s="1348" t="s">
        <v>882</v>
      </c>
      <c r="N494" s="1348"/>
      <c r="O494" s="1349">
        <f>U493</f>
        <v>633650</v>
      </c>
      <c r="P494" s="1349"/>
      <c r="Q494" s="1349"/>
      <c r="R494" s="1098" t="s">
        <v>838</v>
      </c>
      <c r="S494" s="1111">
        <v>0.10249999999999999</v>
      </c>
      <c r="T494" s="1071" t="s">
        <v>689</v>
      </c>
      <c r="U494" s="1090">
        <f>O494*S494+81</f>
        <v>65030.124999999993</v>
      </c>
      <c r="V494" s="582">
        <f>'사. 임직원보수 일람표'!S191</f>
        <v>65030</v>
      </c>
      <c r="W494" s="582">
        <f t="shared" si="25"/>
        <v>0.12499999999272404</v>
      </c>
      <c r="Z494" s="1011"/>
    </row>
    <row r="495" spans="1:26" ht="21.75" customHeight="1">
      <c r="A495" s="605"/>
      <c r="B495" s="606"/>
      <c r="C495" s="606"/>
      <c r="D495" s="607"/>
      <c r="E495" s="608"/>
      <c r="F495" s="609"/>
      <c r="G495" s="647"/>
      <c r="H495" s="642"/>
      <c r="I495" s="131"/>
      <c r="J495" s="131"/>
      <c r="K495" s="1037"/>
      <c r="L495" s="1088"/>
      <c r="M495" s="1348" t="s">
        <v>843</v>
      </c>
      <c r="N495" s="1348"/>
      <c r="O495" s="1345">
        <v>15400000</v>
      </c>
      <c r="P495" s="1345"/>
      <c r="Q495" s="1345"/>
      <c r="R495" s="1098" t="s">
        <v>838</v>
      </c>
      <c r="S495" s="1111">
        <v>1.0500000000000001E-2</v>
      </c>
      <c r="T495" s="1071" t="s">
        <v>689</v>
      </c>
      <c r="U495" s="1090">
        <f>O495*S495</f>
        <v>161700</v>
      </c>
      <c r="V495" s="582">
        <f>'사. 임직원보수 일람표'!T191</f>
        <v>161700</v>
      </c>
      <c r="W495" s="582">
        <f t="shared" si="25"/>
        <v>0</v>
      </c>
      <c r="Z495" s="1011"/>
    </row>
    <row r="496" spans="1:26" ht="21.75" customHeight="1">
      <c r="A496" s="605"/>
      <c r="B496" s="606"/>
      <c r="C496" s="606"/>
      <c r="D496" s="607"/>
      <c r="E496" s="608"/>
      <c r="F496" s="609"/>
      <c r="G496" s="647"/>
      <c r="H496" s="642"/>
      <c r="I496" s="131"/>
      <c r="J496" s="131"/>
      <c r="K496" s="1037"/>
      <c r="L496" s="1088"/>
      <c r="M496" s="1348" t="s">
        <v>844</v>
      </c>
      <c r="N496" s="1348"/>
      <c r="O496" s="1345">
        <v>15400000</v>
      </c>
      <c r="P496" s="1345"/>
      <c r="Q496" s="1345"/>
      <c r="R496" s="1098" t="s">
        <v>838</v>
      </c>
      <c r="S496" s="1111">
        <v>8.0000000000000002E-3</v>
      </c>
      <c r="T496" s="1071" t="s">
        <v>689</v>
      </c>
      <c r="U496" s="1090">
        <f>O496*S496</f>
        <v>123200</v>
      </c>
      <c r="V496" s="582">
        <f>'사. 임직원보수 일람표'!U191</f>
        <v>123200</v>
      </c>
      <c r="W496" s="582">
        <f t="shared" si="25"/>
        <v>0</v>
      </c>
      <c r="Z496" s="1011"/>
    </row>
    <row r="497" spans="1:26" ht="21.75" customHeight="1">
      <c r="A497" s="605"/>
      <c r="B497" s="606"/>
      <c r="C497" s="606"/>
      <c r="D497" s="607"/>
      <c r="E497" s="608"/>
      <c r="F497" s="609"/>
      <c r="G497" s="647"/>
      <c r="H497" s="642"/>
      <c r="I497" s="131"/>
      <c r="J497" s="131"/>
      <c r="K497" s="1037"/>
      <c r="L497" s="1088" t="s">
        <v>833</v>
      </c>
      <c r="M497" s="1348" t="s">
        <v>168</v>
      </c>
      <c r="N497" s="1348"/>
      <c r="O497" s="1349">
        <f>O500</f>
        <v>3000000</v>
      </c>
      <c r="P497" s="1349"/>
      <c r="Q497" s="1349"/>
      <c r="R497" s="1098" t="s">
        <v>744</v>
      </c>
      <c r="S497" s="1111">
        <v>4.4999999999999998E-2</v>
      </c>
      <c r="T497" s="1071" t="s">
        <v>410</v>
      </c>
      <c r="U497" s="1090">
        <f>O497*S497</f>
        <v>135000</v>
      </c>
      <c r="V497" s="582">
        <f>'사. 임직원보수 일람표'!Q201</f>
        <v>135000</v>
      </c>
      <c r="W497" s="582">
        <f t="shared" si="25"/>
        <v>0</v>
      </c>
      <c r="Z497" s="1011"/>
    </row>
    <row r="498" spans="1:26" ht="21.75" customHeight="1">
      <c r="A498" s="605"/>
      <c r="B498" s="606"/>
      <c r="C498" s="606"/>
      <c r="D498" s="607"/>
      <c r="E498" s="608"/>
      <c r="F498" s="609"/>
      <c r="G498" s="647"/>
      <c r="H498" s="642"/>
      <c r="I498" s="131"/>
      <c r="J498" s="131"/>
      <c r="K498" s="1037"/>
      <c r="L498" s="1088"/>
      <c r="M498" s="1348" t="s">
        <v>853</v>
      </c>
      <c r="N498" s="1348"/>
      <c r="O498" s="1345">
        <v>3000000</v>
      </c>
      <c r="P498" s="1345"/>
      <c r="Q498" s="1345"/>
      <c r="R498" s="1069" t="s">
        <v>838</v>
      </c>
      <c r="S498" s="1110">
        <v>3.3349999999999998E-2</v>
      </c>
      <c r="T498" s="1071" t="s">
        <v>689</v>
      </c>
      <c r="U498" s="1090">
        <f>O498*S498</f>
        <v>100050</v>
      </c>
      <c r="V498" s="582">
        <f>'사. 임직원보수 일람표'!R201</f>
        <v>100050</v>
      </c>
      <c r="W498" s="582">
        <f t="shared" si="25"/>
        <v>0</v>
      </c>
    </row>
    <row r="499" spans="1:26" ht="21.75" customHeight="1">
      <c r="A499" s="605"/>
      <c r="B499" s="606"/>
      <c r="C499" s="606"/>
      <c r="D499" s="607"/>
      <c r="E499" s="608"/>
      <c r="F499" s="609"/>
      <c r="G499" s="647"/>
      <c r="H499" s="642"/>
      <c r="I499" s="131"/>
      <c r="J499" s="131"/>
      <c r="K499" s="1037"/>
      <c r="L499" s="1088"/>
      <c r="M499" s="1344" t="s">
        <v>882</v>
      </c>
      <c r="N499" s="1344"/>
      <c r="O499" s="1345">
        <f>U498</f>
        <v>100050</v>
      </c>
      <c r="P499" s="1345"/>
      <c r="Q499" s="1345"/>
      <c r="R499" s="1069" t="s">
        <v>838</v>
      </c>
      <c r="S499" s="1111">
        <v>0.10249999999999999</v>
      </c>
      <c r="T499" s="1071" t="s">
        <v>689</v>
      </c>
      <c r="U499" s="1090">
        <f>O499*S499+5</f>
        <v>10260.125</v>
      </c>
      <c r="V499" s="582">
        <f>'사. 임직원보수 일람표'!S201</f>
        <v>10260</v>
      </c>
      <c r="W499" s="582">
        <f t="shared" si="25"/>
        <v>0.125</v>
      </c>
    </row>
    <row r="500" spans="1:26" ht="21.75" customHeight="1">
      <c r="A500" s="605"/>
      <c r="B500" s="606"/>
      <c r="C500" s="606"/>
      <c r="D500" s="607"/>
      <c r="E500" s="608"/>
      <c r="F500" s="609"/>
      <c r="G500" s="647"/>
      <c r="H500" s="642"/>
      <c r="I500" s="131"/>
      <c r="J500" s="131"/>
      <c r="K500" s="1037"/>
      <c r="L500" s="1088"/>
      <c r="M500" s="1344" t="s">
        <v>843</v>
      </c>
      <c r="N500" s="1344"/>
      <c r="O500" s="1345">
        <f>O498</f>
        <v>3000000</v>
      </c>
      <c r="P500" s="1345"/>
      <c r="Q500" s="1345"/>
      <c r="R500" s="1069" t="s">
        <v>838</v>
      </c>
      <c r="S500" s="1111">
        <v>1.0500000000000001E-2</v>
      </c>
      <c r="T500" s="1071" t="s">
        <v>689</v>
      </c>
      <c r="U500" s="1090">
        <f>O500*S500</f>
        <v>31500.000000000004</v>
      </c>
      <c r="V500" s="582">
        <f>'사. 임직원보수 일람표'!T201</f>
        <v>31500</v>
      </c>
      <c r="W500" s="582">
        <f t="shared" si="25"/>
        <v>0</v>
      </c>
    </row>
    <row r="501" spans="1:26" ht="21.75" customHeight="1">
      <c r="A501" s="605"/>
      <c r="B501" s="606"/>
      <c r="C501" s="606"/>
      <c r="D501" s="607"/>
      <c r="E501" s="608"/>
      <c r="F501" s="609"/>
      <c r="G501" s="647"/>
      <c r="H501" s="642"/>
      <c r="I501" s="131"/>
      <c r="J501" s="131"/>
      <c r="K501" s="1037"/>
      <c r="L501" s="1088"/>
      <c r="M501" s="1344" t="s">
        <v>844</v>
      </c>
      <c r="N501" s="1344"/>
      <c r="O501" s="1345">
        <f>O498</f>
        <v>3000000</v>
      </c>
      <c r="P501" s="1345"/>
      <c r="Q501" s="1345"/>
      <c r="R501" s="1069" t="s">
        <v>838</v>
      </c>
      <c r="S501" s="1111">
        <v>8.0000000000000002E-3</v>
      </c>
      <c r="T501" s="1071" t="s">
        <v>689</v>
      </c>
      <c r="U501" s="1090">
        <f>O501*S501</f>
        <v>24000</v>
      </c>
      <c r="V501" s="582">
        <f>'사. 임직원보수 일람표'!U201</f>
        <v>24000</v>
      </c>
      <c r="W501" s="582">
        <f t="shared" si="25"/>
        <v>0</v>
      </c>
    </row>
    <row r="502" spans="1:26" ht="21.75" customHeight="1">
      <c r="A502" s="605"/>
      <c r="B502" s="606"/>
      <c r="C502" s="1012" t="s">
        <v>117</v>
      </c>
      <c r="D502" s="1013">
        <v>42000000</v>
      </c>
      <c r="E502" s="1014">
        <f>SUM(H502:K502)</f>
        <v>37000000</v>
      </c>
      <c r="F502" s="1014">
        <f>E502-D502</f>
        <v>-5000000</v>
      </c>
      <c r="G502" s="1015">
        <f>F502/D502*100</f>
        <v>-11.904761904761903</v>
      </c>
      <c r="H502" s="1016">
        <v>0</v>
      </c>
      <c r="I502" s="1017">
        <v>10000000</v>
      </c>
      <c r="J502" s="1017">
        <f>자부담세출!F32-자부담세출!T32</f>
        <v>2000000</v>
      </c>
      <c r="K502" s="1036">
        <f>후원금세출!F32</f>
        <v>25000000</v>
      </c>
      <c r="L502" s="1346" t="s">
        <v>958</v>
      </c>
      <c r="M502" s="1347"/>
      <c r="N502" s="1347"/>
      <c r="O502" s="1354"/>
      <c r="P502" s="1354"/>
      <c r="Q502" s="1354"/>
      <c r="R502" s="1084"/>
      <c r="S502" s="1135"/>
      <c r="T502" s="1087"/>
      <c r="U502" s="1136">
        <f>SUM(U503:U513)</f>
        <v>37000000</v>
      </c>
      <c r="V502" s="582">
        <f>E502-U502</f>
        <v>0</v>
      </c>
    </row>
    <row r="503" spans="1:26" ht="21.75" hidden="1" customHeight="1">
      <c r="A503" s="605"/>
      <c r="B503" s="606"/>
      <c r="C503" s="606"/>
      <c r="D503" s="607"/>
      <c r="E503" s="608"/>
      <c r="F503" s="609"/>
      <c r="G503" s="1028"/>
      <c r="H503" s="642"/>
      <c r="I503" s="131"/>
      <c r="J503" s="131"/>
      <c r="K503" s="1037"/>
      <c r="L503" s="1104"/>
      <c r="M503" s="1344" t="s">
        <v>854</v>
      </c>
      <c r="N503" s="1344"/>
      <c r="O503" s="1345">
        <v>800000</v>
      </c>
      <c r="P503" s="1345"/>
      <c r="Q503" s="1345"/>
      <c r="R503" s="1069" t="s">
        <v>838</v>
      </c>
      <c r="S503" s="1070">
        <v>12</v>
      </c>
      <c r="T503" s="1071" t="s">
        <v>689</v>
      </c>
      <c r="U503" s="1080">
        <f t="shared" ref="U503:U512" si="26">O503*S503</f>
        <v>9600000</v>
      </c>
    </row>
    <row r="504" spans="1:26" ht="21.75" hidden="1" customHeight="1">
      <c r="A504" s="605"/>
      <c r="B504" s="606"/>
      <c r="C504" s="606"/>
      <c r="D504" s="607"/>
      <c r="E504" s="608"/>
      <c r="F504" s="609"/>
      <c r="G504" s="1028"/>
      <c r="H504" s="642"/>
      <c r="I504" s="131"/>
      <c r="J504" s="131"/>
      <c r="K504" s="1037"/>
      <c r="L504" s="1104"/>
      <c r="M504" s="1344" t="s">
        <v>855</v>
      </c>
      <c r="N504" s="1344"/>
      <c r="O504" s="1345">
        <v>2000000</v>
      </c>
      <c r="P504" s="1345"/>
      <c r="Q504" s="1345"/>
      <c r="R504" s="1069" t="s">
        <v>838</v>
      </c>
      <c r="S504" s="1097">
        <v>2</v>
      </c>
      <c r="T504" s="1071" t="s">
        <v>689</v>
      </c>
      <c r="U504" s="1080">
        <f t="shared" si="26"/>
        <v>4000000</v>
      </c>
    </row>
    <row r="505" spans="1:26" ht="21.75" hidden="1" customHeight="1">
      <c r="A505" s="605"/>
      <c r="B505" s="606"/>
      <c r="C505" s="606"/>
      <c r="D505" s="607"/>
      <c r="E505" s="608"/>
      <c r="F505" s="609"/>
      <c r="G505" s="1028"/>
      <c r="H505" s="642"/>
      <c r="I505" s="131"/>
      <c r="J505" s="131"/>
      <c r="K505" s="1037"/>
      <c r="L505" s="1104"/>
      <c r="M505" s="1344" t="s">
        <v>856</v>
      </c>
      <c r="N505" s="1344"/>
      <c r="O505" s="1345">
        <v>410000</v>
      </c>
      <c r="P505" s="1345"/>
      <c r="Q505" s="1345"/>
      <c r="R505" s="1069" t="s">
        <v>838</v>
      </c>
      <c r="S505" s="1097">
        <v>1</v>
      </c>
      <c r="T505" s="1071" t="s">
        <v>689</v>
      </c>
      <c r="U505" s="1080">
        <f t="shared" si="26"/>
        <v>410000</v>
      </c>
    </row>
    <row r="506" spans="1:26" ht="21.75" hidden="1" customHeight="1">
      <c r="A506" s="605"/>
      <c r="B506" s="606"/>
      <c r="C506" s="606"/>
      <c r="D506" s="607"/>
      <c r="E506" s="608"/>
      <c r="F506" s="609"/>
      <c r="G506" s="1028"/>
      <c r="H506" s="642"/>
      <c r="I506" s="131"/>
      <c r="J506" s="131"/>
      <c r="K506" s="1037"/>
      <c r="L506" s="1104"/>
      <c r="M506" s="1344" t="s">
        <v>857</v>
      </c>
      <c r="N506" s="1344"/>
      <c r="O506" s="1345">
        <v>2000000</v>
      </c>
      <c r="P506" s="1345"/>
      <c r="Q506" s="1345"/>
      <c r="R506" s="1069" t="s">
        <v>838</v>
      </c>
      <c r="S506" s="1097">
        <v>1</v>
      </c>
      <c r="T506" s="1071" t="s">
        <v>689</v>
      </c>
      <c r="U506" s="1080">
        <f t="shared" si="26"/>
        <v>2000000</v>
      </c>
    </row>
    <row r="507" spans="1:26" ht="21.75" hidden="1" customHeight="1">
      <c r="A507" s="605"/>
      <c r="B507" s="606"/>
      <c r="C507" s="606"/>
      <c r="D507" s="607"/>
      <c r="E507" s="608"/>
      <c r="F507" s="609"/>
      <c r="G507" s="1028"/>
      <c r="H507" s="642"/>
      <c r="I507" s="131"/>
      <c r="J507" s="131"/>
      <c r="K507" s="1037"/>
      <c r="L507" s="1104"/>
      <c r="M507" s="1344" t="s">
        <v>858</v>
      </c>
      <c r="N507" s="1344"/>
      <c r="O507" s="1345">
        <v>800000</v>
      </c>
      <c r="P507" s="1345"/>
      <c r="Q507" s="1345"/>
      <c r="R507" s="1069" t="s">
        <v>838</v>
      </c>
      <c r="S507" s="1097">
        <v>1</v>
      </c>
      <c r="T507" s="1071" t="s">
        <v>689</v>
      </c>
      <c r="U507" s="1080">
        <f t="shared" si="26"/>
        <v>800000</v>
      </c>
    </row>
    <row r="508" spans="1:26" ht="21.75" hidden="1" customHeight="1">
      <c r="A508" s="605"/>
      <c r="B508" s="606"/>
      <c r="C508" s="606"/>
      <c r="D508" s="607"/>
      <c r="E508" s="608"/>
      <c r="F508" s="609"/>
      <c r="G508" s="1028"/>
      <c r="H508" s="642"/>
      <c r="I508" s="131"/>
      <c r="J508" s="131"/>
      <c r="K508" s="1037"/>
      <c r="L508" s="1104"/>
      <c r="M508" s="1344" t="s">
        <v>859</v>
      </c>
      <c r="N508" s="1344"/>
      <c r="O508" s="1345">
        <v>6000000</v>
      </c>
      <c r="P508" s="1345"/>
      <c r="Q508" s="1345"/>
      <c r="R508" s="1069" t="s">
        <v>838</v>
      </c>
      <c r="S508" s="1097">
        <v>2</v>
      </c>
      <c r="T508" s="1071" t="s">
        <v>689</v>
      </c>
      <c r="U508" s="1080">
        <f t="shared" si="26"/>
        <v>12000000</v>
      </c>
    </row>
    <row r="509" spans="1:26" ht="21.75" hidden="1" customHeight="1">
      <c r="A509" s="605"/>
      <c r="B509" s="606"/>
      <c r="C509" s="606"/>
      <c r="D509" s="607"/>
      <c r="E509" s="608"/>
      <c r="F509" s="609"/>
      <c r="G509" s="1028"/>
      <c r="H509" s="642"/>
      <c r="I509" s="131"/>
      <c r="J509" s="131"/>
      <c r="K509" s="1037"/>
      <c r="L509" s="1104"/>
      <c r="M509" s="1344" t="s">
        <v>860</v>
      </c>
      <c r="N509" s="1344"/>
      <c r="O509" s="1345">
        <v>30000</v>
      </c>
      <c r="P509" s="1345"/>
      <c r="Q509" s="1345"/>
      <c r="R509" s="1069" t="s">
        <v>838</v>
      </c>
      <c r="S509" s="1070">
        <v>12</v>
      </c>
      <c r="T509" s="1071" t="s">
        <v>689</v>
      </c>
      <c r="U509" s="1080">
        <f t="shared" si="26"/>
        <v>360000</v>
      </c>
    </row>
    <row r="510" spans="1:26" ht="21.75" hidden="1" customHeight="1">
      <c r="A510" s="605"/>
      <c r="B510" s="606"/>
      <c r="C510" s="606"/>
      <c r="D510" s="607"/>
      <c r="E510" s="608"/>
      <c r="F510" s="609"/>
      <c r="G510" s="1028"/>
      <c r="H510" s="642"/>
      <c r="I510" s="131"/>
      <c r="J510" s="131"/>
      <c r="K510" s="1037"/>
      <c r="L510" s="1104"/>
      <c r="M510" s="1344" t="s">
        <v>861</v>
      </c>
      <c r="N510" s="1344"/>
      <c r="O510" s="1345">
        <v>120000</v>
      </c>
      <c r="P510" s="1345"/>
      <c r="Q510" s="1345"/>
      <c r="R510" s="1069" t="s">
        <v>838</v>
      </c>
      <c r="S510" s="1097">
        <v>1</v>
      </c>
      <c r="T510" s="1071" t="s">
        <v>689</v>
      </c>
      <c r="U510" s="1080">
        <f t="shared" si="26"/>
        <v>120000</v>
      </c>
    </row>
    <row r="511" spans="1:26" ht="21.75" hidden="1" customHeight="1">
      <c r="A511" s="605"/>
      <c r="B511" s="606"/>
      <c r="C511" s="606"/>
      <c r="D511" s="607"/>
      <c r="E511" s="608"/>
      <c r="F511" s="609"/>
      <c r="G511" s="1028"/>
      <c r="H511" s="642"/>
      <c r="I511" s="131"/>
      <c r="J511" s="131"/>
      <c r="K511" s="1037"/>
      <c r="L511" s="1104"/>
      <c r="M511" s="1344" t="s">
        <v>862</v>
      </c>
      <c r="N511" s="1344"/>
      <c r="O511" s="1345">
        <v>2000000</v>
      </c>
      <c r="P511" s="1345"/>
      <c r="Q511" s="1345"/>
      <c r="R511" s="1069" t="s">
        <v>838</v>
      </c>
      <c r="S511" s="1097">
        <v>1</v>
      </c>
      <c r="T511" s="1071" t="s">
        <v>689</v>
      </c>
      <c r="U511" s="1080">
        <f t="shared" si="26"/>
        <v>2000000</v>
      </c>
    </row>
    <row r="512" spans="1:26" ht="21.75" hidden="1" customHeight="1">
      <c r="A512" s="605"/>
      <c r="B512" s="606"/>
      <c r="C512" s="606"/>
      <c r="D512" s="607"/>
      <c r="E512" s="608"/>
      <c r="F512" s="609"/>
      <c r="G512" s="1028"/>
      <c r="H512" s="642"/>
      <c r="I512" s="131"/>
      <c r="J512" s="131"/>
      <c r="K512" s="1037"/>
      <c r="L512" s="1104"/>
      <c r="M512" s="1344" t="s">
        <v>863</v>
      </c>
      <c r="N512" s="1344"/>
      <c r="O512" s="1345">
        <v>2000000</v>
      </c>
      <c r="P512" s="1345"/>
      <c r="Q512" s="1345"/>
      <c r="R512" s="1069" t="s">
        <v>838</v>
      </c>
      <c r="S512" s="1097">
        <v>2</v>
      </c>
      <c r="T512" s="1071" t="s">
        <v>689</v>
      </c>
      <c r="U512" s="1080">
        <f t="shared" si="26"/>
        <v>4000000</v>
      </c>
    </row>
    <row r="513" spans="1:31" ht="21.75" hidden="1" customHeight="1">
      <c r="A513" s="605"/>
      <c r="B513" s="606"/>
      <c r="C513" s="606"/>
      <c r="D513" s="607"/>
      <c r="E513" s="608"/>
      <c r="F513" s="609"/>
      <c r="G513" s="1028"/>
      <c r="H513" s="642"/>
      <c r="I513" s="131"/>
      <c r="J513" s="131"/>
      <c r="K513" s="1037"/>
      <c r="L513" s="1104"/>
      <c r="M513" s="1344" t="s">
        <v>864</v>
      </c>
      <c r="N513" s="1344"/>
      <c r="O513" s="1345">
        <f>U513/12</f>
        <v>142500</v>
      </c>
      <c r="P513" s="1345"/>
      <c r="Q513" s="1345"/>
      <c r="R513" s="1069" t="s">
        <v>838</v>
      </c>
      <c r="S513" s="1070">
        <v>12</v>
      </c>
      <c r="T513" s="1071" t="s">
        <v>689</v>
      </c>
      <c r="U513" s="1080">
        <v>1710000</v>
      </c>
      <c r="Z513" s="1065" t="s">
        <v>879</v>
      </c>
      <c r="AA513" s="1066">
        <f>12400000+3280000+2820000+20000000</f>
        <v>38500000</v>
      </c>
      <c r="AB513" s="1067">
        <v>3008670</v>
      </c>
      <c r="AC513" s="1068">
        <f>SUM(AA513:AB513)</f>
        <v>41508670</v>
      </c>
    </row>
    <row r="514" spans="1:31" ht="21.75" customHeight="1">
      <c r="A514" s="605"/>
      <c r="B514" s="614" t="s">
        <v>118</v>
      </c>
      <c r="C514" s="614" t="s">
        <v>94</v>
      </c>
      <c r="D514" s="615">
        <f>D515</f>
        <v>2490000</v>
      </c>
      <c r="E514" s="615">
        <f>E515</f>
        <v>2000000</v>
      </c>
      <c r="F514" s="615">
        <f>E514-D514</f>
        <v>-490000</v>
      </c>
      <c r="G514" s="649">
        <f>F514/D514*100</f>
        <v>-19.678714859437751</v>
      </c>
      <c r="H514" s="643">
        <f>H515</f>
        <v>0</v>
      </c>
      <c r="I514" s="616">
        <f>I515</f>
        <v>0</v>
      </c>
      <c r="J514" s="616">
        <f>J515</f>
        <v>2000000</v>
      </c>
      <c r="K514" s="1038">
        <f>K515</f>
        <v>0</v>
      </c>
      <c r="L514" s="1151" t="s">
        <v>974</v>
      </c>
      <c r="M514" s="1115"/>
      <c r="N514" s="1115"/>
      <c r="O514" s="1115"/>
      <c r="P514" s="1115"/>
      <c r="Q514" s="1115"/>
      <c r="R514" s="1115"/>
      <c r="S514" s="1115"/>
      <c r="T514" s="1115"/>
      <c r="U514" s="1126">
        <f>U515</f>
        <v>2000000</v>
      </c>
      <c r="Z514" s="1065" t="s">
        <v>880</v>
      </c>
      <c r="AA514" s="1066">
        <v>340000000</v>
      </c>
      <c r="AB514" s="1067">
        <v>18629586</v>
      </c>
      <c r="AC514" s="1068">
        <f>SUM(AA514:AB514)</f>
        <v>358629586</v>
      </c>
    </row>
    <row r="515" spans="1:31" ht="21.75" customHeight="1">
      <c r="A515" s="605"/>
      <c r="B515" s="617"/>
      <c r="C515" s="1012" t="s">
        <v>119</v>
      </c>
      <c r="D515" s="1014">
        <v>2490000</v>
      </c>
      <c r="E515" s="1014">
        <f>자부담세출!F37+국도비세출!F25</f>
        <v>2000000</v>
      </c>
      <c r="F515" s="1014">
        <f>E515-D515</f>
        <v>-490000</v>
      </c>
      <c r="G515" s="1015">
        <f>F515/D515*100</f>
        <v>-19.678714859437751</v>
      </c>
      <c r="H515" s="1016"/>
      <c r="I515" s="1017"/>
      <c r="J515" s="1017">
        <f>자부담세출!F37-자부담세출!T37</f>
        <v>2000000</v>
      </c>
      <c r="K515" s="1036">
        <v>0</v>
      </c>
      <c r="L515" s="1346" t="s">
        <v>975</v>
      </c>
      <c r="M515" s="1347"/>
      <c r="N515" s="1347"/>
      <c r="O515" s="1341"/>
      <c r="P515" s="1341"/>
      <c r="Q515" s="1341"/>
      <c r="R515" s="1084"/>
      <c r="S515" s="1140"/>
      <c r="T515" s="1087"/>
      <c r="U515" s="1141">
        <f>SUM(U516:U517)</f>
        <v>2000000</v>
      </c>
      <c r="Z515" s="759" t="s">
        <v>881</v>
      </c>
      <c r="AA515" s="1067">
        <v>541632</v>
      </c>
      <c r="AB515" s="1067">
        <v>820112</v>
      </c>
      <c r="AC515" s="1068">
        <f>SUM(AA515:AB515)</f>
        <v>1361744</v>
      </c>
    </row>
    <row r="516" spans="1:31" ht="21.75" hidden="1" customHeight="1">
      <c r="A516" s="605"/>
      <c r="B516" s="617"/>
      <c r="C516" s="606"/>
      <c r="D516" s="609"/>
      <c r="E516" s="609"/>
      <c r="F516" s="609"/>
      <c r="G516" s="1028"/>
      <c r="H516" s="642"/>
      <c r="I516" s="131"/>
      <c r="J516" s="131"/>
      <c r="K516" s="1037"/>
      <c r="L516" s="1373" t="s">
        <v>865</v>
      </c>
      <c r="M516" s="1374"/>
      <c r="N516" s="1374"/>
      <c r="O516" s="1342">
        <f>70000*6</f>
        <v>420000</v>
      </c>
      <c r="P516" s="1342"/>
      <c r="Q516" s="1342"/>
      <c r="R516" s="1069" t="s">
        <v>838</v>
      </c>
      <c r="S516" s="1097">
        <v>4</v>
      </c>
      <c r="T516" s="1071" t="s">
        <v>689</v>
      </c>
      <c r="U516" s="1080">
        <f>O516*S516</f>
        <v>1680000</v>
      </c>
      <c r="Z516" s="759"/>
      <c r="AA516" s="1067"/>
      <c r="AB516" s="1067"/>
      <c r="AC516" s="1068"/>
    </row>
    <row r="517" spans="1:31" ht="21.75" hidden="1" customHeight="1">
      <c r="A517" s="605"/>
      <c r="B517" s="617"/>
      <c r="C517" s="606"/>
      <c r="D517" s="609"/>
      <c r="E517" s="609"/>
      <c r="F517" s="609"/>
      <c r="G517" s="1028"/>
      <c r="H517" s="642"/>
      <c r="I517" s="131"/>
      <c r="J517" s="131"/>
      <c r="K517" s="1037"/>
      <c r="L517" s="1373" t="s">
        <v>902</v>
      </c>
      <c r="M517" s="1374"/>
      <c r="N517" s="1374"/>
      <c r="O517" s="1342">
        <f>ROUNDUP(U517/S517,-1)</f>
        <v>80000</v>
      </c>
      <c r="P517" s="1342"/>
      <c r="Q517" s="1342"/>
      <c r="R517" s="1069" t="s">
        <v>838</v>
      </c>
      <c r="S517" s="1097">
        <v>4</v>
      </c>
      <c r="T517" s="1071" t="s">
        <v>689</v>
      </c>
      <c r="U517" s="1080">
        <v>320000</v>
      </c>
      <c r="Z517" s="759"/>
      <c r="AA517" s="1067"/>
      <c r="AB517" s="1067"/>
      <c r="AC517" s="1068"/>
    </row>
    <row r="518" spans="1:31" ht="21.75" hidden="1" customHeight="1">
      <c r="A518" s="605"/>
      <c r="B518" s="617"/>
      <c r="C518" s="606"/>
      <c r="D518" s="609"/>
      <c r="E518" s="609"/>
      <c r="F518" s="609"/>
      <c r="G518" s="1028"/>
      <c r="H518" s="642"/>
      <c r="I518" s="131"/>
      <c r="J518" s="131"/>
      <c r="K518" s="1037"/>
      <c r="L518" s="1118"/>
      <c r="M518" s="1119"/>
      <c r="N518" s="1119"/>
      <c r="O518" s="1117"/>
      <c r="P518" s="1117"/>
      <c r="Q518" s="1117"/>
      <c r="R518" s="1069"/>
      <c r="S518" s="1070"/>
      <c r="T518" s="1071"/>
      <c r="U518" s="1080"/>
      <c r="Z518" s="759"/>
      <c r="AA518" s="1067"/>
      <c r="AB518" s="1067"/>
      <c r="AC518" s="1068"/>
    </row>
    <row r="519" spans="1:31" ht="21.75" customHeight="1">
      <c r="A519" s="605"/>
      <c r="B519" s="618" t="s">
        <v>120</v>
      </c>
      <c r="C519" s="618" t="s">
        <v>94</v>
      </c>
      <c r="D519" s="615">
        <v>233013910</v>
      </c>
      <c r="E519" s="615">
        <f>SUM(E520:E557)</f>
        <v>237957165</v>
      </c>
      <c r="F519" s="615">
        <f>E519-D519</f>
        <v>4943255</v>
      </c>
      <c r="G519" s="649">
        <f>F519/D519*100</f>
        <v>2.1214420203497721</v>
      </c>
      <c r="H519" s="643">
        <f>SUM(H520:H557)</f>
        <v>62458000</v>
      </c>
      <c r="I519" s="616">
        <f>SUM(I520:I557)</f>
        <v>3820643</v>
      </c>
      <c r="J519" s="616">
        <f>SUM(J520:J557)</f>
        <v>58869437</v>
      </c>
      <c r="K519" s="1038">
        <f>SUM(K520:K557)</f>
        <v>112809085</v>
      </c>
      <c r="L519" s="1105" t="s">
        <v>973</v>
      </c>
      <c r="M519" s="1005"/>
      <c r="N519" s="1005"/>
      <c r="O519" s="619"/>
      <c r="P519" s="619"/>
      <c r="Q519" s="619"/>
      <c r="R519" s="619"/>
      <c r="S519" s="619"/>
      <c r="T519" s="619"/>
      <c r="U519" s="1129">
        <f>SUM(U520,U522,U539,U546,U554,U557)</f>
        <v>237957165</v>
      </c>
      <c r="AA519" s="1011">
        <f>SUM(AA513:AA515)</f>
        <v>379041632</v>
      </c>
      <c r="AB519" s="1011">
        <f>SUM(AB513:AB515)</f>
        <v>22458368</v>
      </c>
      <c r="AC519" s="1011">
        <f>SUM(AC513:AC515)</f>
        <v>401500000</v>
      </c>
      <c r="AD519" s="582">
        <f>K6-AC519</f>
        <v>0.125</v>
      </c>
      <c r="AE519" s="1011">
        <f>E519-U519</f>
        <v>0</v>
      </c>
    </row>
    <row r="520" spans="1:31" ht="21.75" customHeight="1">
      <c r="A520" s="605"/>
      <c r="B520" s="620"/>
      <c r="C520" s="1139" t="s">
        <v>121</v>
      </c>
      <c r="D520" s="1014">
        <v>5000000</v>
      </c>
      <c r="E520" s="1014">
        <f>SUM(H520:K520)</f>
        <v>2000000</v>
      </c>
      <c r="F520" s="1014">
        <f>E520-D520</f>
        <v>-3000000</v>
      </c>
      <c r="G520" s="1015">
        <f>F520/D520*100</f>
        <v>-60</v>
      </c>
      <c r="H520" s="1016">
        <v>0</v>
      </c>
      <c r="I520" s="1017"/>
      <c r="J520" s="1017">
        <v>0</v>
      </c>
      <c r="K520" s="1036">
        <f>후원금세출!F39</f>
        <v>2000000</v>
      </c>
      <c r="L520" s="1339" t="s">
        <v>959</v>
      </c>
      <c r="M520" s="1340"/>
      <c r="N520" s="1340"/>
      <c r="O520" s="1341"/>
      <c r="P520" s="1341"/>
      <c r="Q520" s="1341"/>
      <c r="R520" s="1084"/>
      <c r="S520" s="1086"/>
      <c r="T520" s="1087"/>
      <c r="U520" s="1141">
        <v>2000000</v>
      </c>
    </row>
    <row r="521" spans="1:31" ht="21.75" customHeight="1">
      <c r="A521" s="605"/>
      <c r="B521" s="620"/>
      <c r="C521" s="620"/>
      <c r="D521" s="609"/>
      <c r="E521" s="608"/>
      <c r="F521" s="609"/>
      <c r="G521" s="647"/>
      <c r="H521" s="642"/>
      <c r="I521" s="131"/>
      <c r="J521" s="131"/>
      <c r="K521" s="1037"/>
      <c r="L521" s="1343" t="s">
        <v>866</v>
      </c>
      <c r="M521" s="1344"/>
      <c r="N521" s="1344"/>
      <c r="O521" s="1342">
        <f>ROUNDUP(U521/S521,-1)</f>
        <v>166670</v>
      </c>
      <c r="P521" s="1342"/>
      <c r="Q521" s="1342"/>
      <c r="R521" s="1069" t="s">
        <v>838</v>
      </c>
      <c r="S521" s="1070">
        <v>12</v>
      </c>
      <c r="T521" s="1071" t="s">
        <v>689</v>
      </c>
      <c r="U521" s="1080">
        <v>2000000</v>
      </c>
    </row>
    <row r="522" spans="1:31" ht="21.75" customHeight="1">
      <c r="A522" s="605"/>
      <c r="B522" s="620"/>
      <c r="C522" s="1139" t="s">
        <v>122</v>
      </c>
      <c r="D522" s="1013">
        <v>55288080</v>
      </c>
      <c r="E522" s="1014">
        <f>SUM(H522:K522)</f>
        <v>57956715</v>
      </c>
      <c r="F522" s="1014">
        <f>E522-D522</f>
        <v>2668635</v>
      </c>
      <c r="G522" s="1015">
        <f>F522/D522*100</f>
        <v>4.8267818307309636</v>
      </c>
      <c r="H522" s="1016">
        <f>국도비세출!F28</f>
        <v>9257550</v>
      </c>
      <c r="I522" s="1017">
        <v>20643</v>
      </c>
      <c r="J522" s="1017">
        <f>자부담세출!F40-자부담세출!T40</f>
        <v>6869437</v>
      </c>
      <c r="K522" s="1036">
        <f>후원금세출!F40-139500</f>
        <v>41809085</v>
      </c>
      <c r="L522" s="1339" t="s">
        <v>960</v>
      </c>
      <c r="M522" s="1340"/>
      <c r="N522" s="1340"/>
      <c r="O522" s="1341"/>
      <c r="P522" s="1341"/>
      <c r="Q522" s="1341"/>
      <c r="R522" s="1084"/>
      <c r="S522" s="1086"/>
      <c r="T522" s="1087"/>
      <c r="U522" s="1141">
        <f>SUM(U523:U538)</f>
        <v>57956715</v>
      </c>
      <c r="V522" s="582">
        <f>E522-U522-U524-U525-U526-U527-U528-U529-U530-U531-U532-U533-U534-U535-U536-U537-U538</f>
        <v>-57477915</v>
      </c>
      <c r="AE522" s="1011">
        <f>E522-U522:U537</f>
        <v>0</v>
      </c>
    </row>
    <row r="523" spans="1:31" ht="21.75" hidden="1" customHeight="1">
      <c r="A523" s="605"/>
      <c r="B523" s="620"/>
      <c r="C523" s="620"/>
      <c r="D523" s="607"/>
      <c r="E523" s="608"/>
      <c r="F523" s="609"/>
      <c r="G523" s="647"/>
      <c r="H523" s="642"/>
      <c r="I523" s="131"/>
      <c r="J523" s="131"/>
      <c r="K523" s="1037"/>
      <c r="L523" s="1343" t="s">
        <v>903</v>
      </c>
      <c r="M523" s="1344"/>
      <c r="N523" s="1344"/>
      <c r="O523" s="1342">
        <v>39900</v>
      </c>
      <c r="P523" s="1342"/>
      <c r="Q523" s="1342"/>
      <c r="R523" s="1069" t="s">
        <v>838</v>
      </c>
      <c r="S523" s="1070">
        <v>12</v>
      </c>
      <c r="T523" s="1071" t="s">
        <v>689</v>
      </c>
      <c r="U523" s="1080">
        <f t="shared" ref="U523:U537" si="27">O523*S523</f>
        <v>478800</v>
      </c>
      <c r="AE523" s="1011"/>
    </row>
    <row r="524" spans="1:31" ht="21.75" hidden="1" customHeight="1">
      <c r="A524" s="605"/>
      <c r="B524" s="620"/>
      <c r="C524" s="620"/>
      <c r="D524" s="607"/>
      <c r="E524" s="608"/>
      <c r="F524" s="609"/>
      <c r="G524" s="647"/>
      <c r="H524" s="642"/>
      <c r="I524" s="131"/>
      <c r="J524" s="131"/>
      <c r="K524" s="1037"/>
      <c r="L524" s="1343" t="s">
        <v>904</v>
      </c>
      <c r="M524" s="1344"/>
      <c r="N524" s="1344"/>
      <c r="O524" s="1342">
        <v>310810</v>
      </c>
      <c r="P524" s="1342"/>
      <c r="Q524" s="1342"/>
      <c r="R524" s="1069" t="s">
        <v>838</v>
      </c>
      <c r="S524" s="1070">
        <v>12</v>
      </c>
      <c r="T524" s="1071" t="s">
        <v>689</v>
      </c>
      <c r="U524" s="1080">
        <f t="shared" si="27"/>
        <v>3729720</v>
      </c>
      <c r="AE524" s="1011"/>
    </row>
    <row r="525" spans="1:31" ht="21.75" hidden="1" customHeight="1">
      <c r="A525" s="605"/>
      <c r="B525" s="620"/>
      <c r="C525" s="620"/>
      <c r="D525" s="607"/>
      <c r="E525" s="608"/>
      <c r="F525" s="609"/>
      <c r="G525" s="647"/>
      <c r="H525" s="642"/>
      <c r="I525" s="131"/>
      <c r="J525" s="131"/>
      <c r="K525" s="1037"/>
      <c r="L525" s="1343" t="s">
        <v>905</v>
      </c>
      <c r="M525" s="1344"/>
      <c r="N525" s="1344"/>
      <c r="O525" s="1342">
        <v>160000</v>
      </c>
      <c r="P525" s="1342"/>
      <c r="Q525" s="1342"/>
      <c r="R525" s="1069" t="s">
        <v>838</v>
      </c>
      <c r="S525" s="1070">
        <v>12</v>
      </c>
      <c r="T525" s="1071" t="s">
        <v>689</v>
      </c>
      <c r="U525" s="1080">
        <f t="shared" si="27"/>
        <v>1920000</v>
      </c>
      <c r="AE525" s="1011"/>
    </row>
    <row r="526" spans="1:31" ht="21.75" hidden="1" customHeight="1">
      <c r="A526" s="605"/>
      <c r="B526" s="620"/>
      <c r="C526" s="620"/>
      <c r="D526" s="607"/>
      <c r="E526" s="608"/>
      <c r="F526" s="609"/>
      <c r="G526" s="647"/>
      <c r="H526" s="642"/>
      <c r="I526" s="131"/>
      <c r="J526" s="131"/>
      <c r="K526" s="1037"/>
      <c r="L526" s="1343" t="s">
        <v>906</v>
      </c>
      <c r="M526" s="1344"/>
      <c r="N526" s="1344"/>
      <c r="O526" s="1342">
        <v>165000</v>
      </c>
      <c r="P526" s="1342"/>
      <c r="Q526" s="1342"/>
      <c r="R526" s="1069" t="s">
        <v>838</v>
      </c>
      <c r="S526" s="1070">
        <v>12</v>
      </c>
      <c r="T526" s="1071" t="s">
        <v>689</v>
      </c>
      <c r="U526" s="1080">
        <f t="shared" si="27"/>
        <v>1980000</v>
      </c>
      <c r="AE526" s="1011"/>
    </row>
    <row r="527" spans="1:31" ht="21.75" hidden="1" customHeight="1">
      <c r="A527" s="605"/>
      <c r="B527" s="620"/>
      <c r="C527" s="620"/>
      <c r="D527" s="607"/>
      <c r="E527" s="608"/>
      <c r="F527" s="609"/>
      <c r="G527" s="647"/>
      <c r="H527" s="642"/>
      <c r="I527" s="131"/>
      <c r="J527" s="131"/>
      <c r="K527" s="1037"/>
      <c r="L527" s="1343" t="s">
        <v>907</v>
      </c>
      <c r="M527" s="1344"/>
      <c r="N527" s="1344"/>
      <c r="O527" s="1342">
        <v>440000</v>
      </c>
      <c r="P527" s="1342"/>
      <c r="Q527" s="1342"/>
      <c r="R527" s="1069" t="s">
        <v>838</v>
      </c>
      <c r="S527" s="1070">
        <v>12</v>
      </c>
      <c r="T527" s="1071" t="s">
        <v>689</v>
      </c>
      <c r="U527" s="1080">
        <f t="shared" si="27"/>
        <v>5280000</v>
      </c>
      <c r="AE527" s="1011"/>
    </row>
    <row r="528" spans="1:31" ht="21.75" hidden="1" customHeight="1">
      <c r="A528" s="605"/>
      <c r="B528" s="620"/>
      <c r="C528" s="620"/>
      <c r="D528" s="607"/>
      <c r="E528" s="608"/>
      <c r="F528" s="609"/>
      <c r="G528" s="647"/>
      <c r="H528" s="642"/>
      <c r="I528" s="131"/>
      <c r="J528" s="131"/>
      <c r="K528" s="1037"/>
      <c r="L528" s="1343" t="s">
        <v>908</v>
      </c>
      <c r="M528" s="1344"/>
      <c r="N528" s="1344"/>
      <c r="O528" s="1342">
        <v>154000</v>
      </c>
      <c r="P528" s="1342"/>
      <c r="Q528" s="1342"/>
      <c r="R528" s="1069" t="s">
        <v>838</v>
      </c>
      <c r="S528" s="1070">
        <v>12</v>
      </c>
      <c r="T528" s="1071" t="s">
        <v>689</v>
      </c>
      <c r="U528" s="1080">
        <f t="shared" si="27"/>
        <v>1848000</v>
      </c>
      <c r="AE528" s="1011"/>
    </row>
    <row r="529" spans="1:31" ht="21.75" hidden="1" customHeight="1">
      <c r="A529" s="605"/>
      <c r="B529" s="620"/>
      <c r="C529" s="620"/>
      <c r="D529" s="607"/>
      <c r="E529" s="608"/>
      <c r="F529" s="609"/>
      <c r="G529" s="647"/>
      <c r="H529" s="642"/>
      <c r="I529" s="131"/>
      <c r="J529" s="131"/>
      <c r="K529" s="1037"/>
      <c r="L529" s="1343" t="s">
        <v>909</v>
      </c>
      <c r="M529" s="1344"/>
      <c r="N529" s="1344"/>
      <c r="O529" s="1342">
        <v>1694000</v>
      </c>
      <c r="P529" s="1342"/>
      <c r="Q529" s="1342"/>
      <c r="R529" s="1069" t="s">
        <v>838</v>
      </c>
      <c r="S529" s="1097">
        <v>6</v>
      </c>
      <c r="T529" s="1071" t="s">
        <v>689</v>
      </c>
      <c r="U529" s="1080">
        <f t="shared" si="27"/>
        <v>10164000</v>
      </c>
      <c r="AE529" s="1011"/>
    </row>
    <row r="530" spans="1:31" ht="21.75" hidden="1" customHeight="1">
      <c r="A530" s="605"/>
      <c r="B530" s="620"/>
      <c r="C530" s="620"/>
      <c r="D530" s="607"/>
      <c r="E530" s="608"/>
      <c r="F530" s="609"/>
      <c r="G530" s="647"/>
      <c r="H530" s="642"/>
      <c r="I530" s="131"/>
      <c r="J530" s="131"/>
      <c r="K530" s="1037"/>
      <c r="L530" s="1343" t="s">
        <v>910</v>
      </c>
      <c r="M530" s="1344"/>
      <c r="N530" s="1344"/>
      <c r="O530" s="1342">
        <v>594000</v>
      </c>
      <c r="P530" s="1342"/>
      <c r="Q530" s="1342"/>
      <c r="R530" s="1069" t="s">
        <v>838</v>
      </c>
      <c r="S530" s="1097">
        <v>3</v>
      </c>
      <c r="T530" s="1071" t="s">
        <v>689</v>
      </c>
      <c r="U530" s="1080">
        <f t="shared" si="27"/>
        <v>1782000</v>
      </c>
      <c r="AE530" s="1011"/>
    </row>
    <row r="531" spans="1:31" ht="21.75" hidden="1" customHeight="1">
      <c r="A531" s="605"/>
      <c r="B531" s="620"/>
      <c r="C531" s="620"/>
      <c r="D531" s="607"/>
      <c r="E531" s="608"/>
      <c r="F531" s="609"/>
      <c r="G531" s="647"/>
      <c r="H531" s="642"/>
      <c r="I531" s="131"/>
      <c r="J531" s="131"/>
      <c r="K531" s="1037"/>
      <c r="L531" s="1343" t="s">
        <v>911</v>
      </c>
      <c r="M531" s="1344"/>
      <c r="N531" s="1344"/>
      <c r="O531" s="1342">
        <v>500000</v>
      </c>
      <c r="P531" s="1342"/>
      <c r="Q531" s="1342"/>
      <c r="R531" s="1069" t="s">
        <v>838</v>
      </c>
      <c r="S531" s="1097">
        <v>12</v>
      </c>
      <c r="T531" s="1071" t="s">
        <v>689</v>
      </c>
      <c r="U531" s="1080">
        <f t="shared" si="27"/>
        <v>6000000</v>
      </c>
      <c r="AE531" s="1011"/>
    </row>
    <row r="532" spans="1:31" ht="21.75" hidden="1" customHeight="1">
      <c r="A532" s="605"/>
      <c r="B532" s="620"/>
      <c r="C532" s="620"/>
      <c r="D532" s="607"/>
      <c r="E532" s="608"/>
      <c r="F532" s="609"/>
      <c r="G532" s="647"/>
      <c r="H532" s="642"/>
      <c r="I532" s="131"/>
      <c r="J532" s="131"/>
      <c r="K532" s="1037"/>
      <c r="L532" s="1343" t="s">
        <v>912</v>
      </c>
      <c r="M532" s="1344"/>
      <c r="N532" s="1344"/>
      <c r="O532" s="1342">
        <v>30000</v>
      </c>
      <c r="P532" s="1342"/>
      <c r="Q532" s="1342"/>
      <c r="R532" s="1069" t="s">
        <v>838</v>
      </c>
      <c r="S532" s="1070">
        <v>12</v>
      </c>
      <c r="T532" s="1071" t="s">
        <v>689</v>
      </c>
      <c r="U532" s="1080">
        <f t="shared" si="27"/>
        <v>360000</v>
      </c>
      <c r="AE532" s="1011"/>
    </row>
    <row r="533" spans="1:31" ht="21.75" hidden="1" customHeight="1">
      <c r="A533" s="605"/>
      <c r="B533" s="620"/>
      <c r="C533" s="620"/>
      <c r="D533" s="607"/>
      <c r="E533" s="608"/>
      <c r="F533" s="609"/>
      <c r="G533" s="647"/>
      <c r="H533" s="642"/>
      <c r="I533" s="131"/>
      <c r="J533" s="131"/>
      <c r="K533" s="1037"/>
      <c r="L533" s="1343" t="s">
        <v>913</v>
      </c>
      <c r="M533" s="1344"/>
      <c r="N533" s="1344"/>
      <c r="O533" s="1342">
        <v>100000</v>
      </c>
      <c r="P533" s="1342"/>
      <c r="Q533" s="1342"/>
      <c r="R533" s="1069" t="s">
        <v>838</v>
      </c>
      <c r="S533" s="1070">
        <v>4</v>
      </c>
      <c r="T533" s="1071" t="s">
        <v>689</v>
      </c>
      <c r="U533" s="1080">
        <f t="shared" si="27"/>
        <v>400000</v>
      </c>
      <c r="AE533" s="1011"/>
    </row>
    <row r="534" spans="1:31" ht="21.75" hidden="1" customHeight="1">
      <c r="A534" s="605"/>
      <c r="B534" s="620"/>
      <c r="C534" s="620"/>
      <c r="D534" s="607"/>
      <c r="E534" s="608"/>
      <c r="F534" s="609"/>
      <c r="G534" s="647"/>
      <c r="H534" s="642"/>
      <c r="I534" s="131"/>
      <c r="J534" s="131"/>
      <c r="K534" s="1037"/>
      <c r="L534" s="1343" t="s">
        <v>916</v>
      </c>
      <c r="M534" s="1344"/>
      <c r="N534" s="1344"/>
      <c r="O534" s="1342">
        <v>600000</v>
      </c>
      <c r="P534" s="1342"/>
      <c r="Q534" s="1342"/>
      <c r="R534" s="1069" t="s">
        <v>838</v>
      </c>
      <c r="S534" s="1070">
        <v>6</v>
      </c>
      <c r="T534" s="1071" t="s">
        <v>689</v>
      </c>
      <c r="U534" s="1080">
        <f t="shared" si="27"/>
        <v>3600000</v>
      </c>
      <c r="AE534" s="1011"/>
    </row>
    <row r="535" spans="1:31" ht="21.75" hidden="1" customHeight="1">
      <c r="A535" s="605"/>
      <c r="B535" s="620"/>
      <c r="C535" s="620"/>
      <c r="D535" s="607"/>
      <c r="E535" s="608"/>
      <c r="F535" s="609"/>
      <c r="G535" s="647"/>
      <c r="H535" s="642"/>
      <c r="I535" s="131"/>
      <c r="J535" s="131"/>
      <c r="K535" s="1037"/>
      <c r="L535" s="1343" t="s">
        <v>914</v>
      </c>
      <c r="M535" s="1344"/>
      <c r="N535" s="1344"/>
      <c r="O535" s="1342">
        <v>600000</v>
      </c>
      <c r="P535" s="1342"/>
      <c r="Q535" s="1342"/>
      <c r="R535" s="1069" t="s">
        <v>838</v>
      </c>
      <c r="S535" s="1070">
        <v>12</v>
      </c>
      <c r="T535" s="1071" t="s">
        <v>689</v>
      </c>
      <c r="U535" s="1080">
        <f t="shared" si="27"/>
        <v>7200000</v>
      </c>
      <c r="AE535" s="1011"/>
    </row>
    <row r="536" spans="1:31" ht="21.75" hidden="1" customHeight="1">
      <c r="A536" s="605"/>
      <c r="B536" s="620"/>
      <c r="C536" s="620"/>
      <c r="D536" s="607"/>
      <c r="E536" s="608"/>
      <c r="F536" s="609"/>
      <c r="G536" s="647"/>
      <c r="H536" s="642"/>
      <c r="I536" s="131"/>
      <c r="J536" s="131"/>
      <c r="K536" s="1037"/>
      <c r="L536" s="1343" t="s">
        <v>915</v>
      </c>
      <c r="M536" s="1344"/>
      <c r="N536" s="1344"/>
      <c r="O536" s="1342">
        <v>33000</v>
      </c>
      <c r="P536" s="1342"/>
      <c r="Q536" s="1342"/>
      <c r="R536" s="1069" t="s">
        <v>838</v>
      </c>
      <c r="S536" s="1070">
        <v>12</v>
      </c>
      <c r="T536" s="1071" t="s">
        <v>689</v>
      </c>
      <c r="U536" s="1080">
        <f t="shared" si="27"/>
        <v>396000</v>
      </c>
      <c r="AE536" s="1011"/>
    </row>
    <row r="537" spans="1:31" ht="21.75" hidden="1" customHeight="1">
      <c r="A537" s="605"/>
      <c r="B537" s="620"/>
      <c r="C537" s="620"/>
      <c r="D537" s="607"/>
      <c r="E537" s="608"/>
      <c r="F537" s="609"/>
      <c r="G537" s="647"/>
      <c r="H537" s="642"/>
      <c r="I537" s="131"/>
      <c r="J537" s="131"/>
      <c r="K537" s="1037"/>
      <c r="L537" s="1343" t="s">
        <v>929</v>
      </c>
      <c r="M537" s="1344"/>
      <c r="N537" s="1344"/>
      <c r="O537" s="1342">
        <v>6000000</v>
      </c>
      <c r="P537" s="1342"/>
      <c r="Q537" s="1342"/>
      <c r="R537" s="1069" t="s">
        <v>838</v>
      </c>
      <c r="S537" s="1070">
        <v>1</v>
      </c>
      <c r="T537" s="1071" t="s">
        <v>689</v>
      </c>
      <c r="U537" s="1080">
        <f t="shared" si="27"/>
        <v>6000000</v>
      </c>
      <c r="AE537" s="1011"/>
    </row>
    <row r="538" spans="1:31" ht="21.75" hidden="1" customHeight="1">
      <c r="A538" s="605"/>
      <c r="B538" s="620"/>
      <c r="C538" s="620"/>
      <c r="D538" s="607"/>
      <c r="E538" s="608"/>
      <c r="F538" s="609"/>
      <c r="G538" s="647"/>
      <c r="H538" s="642"/>
      <c r="I538" s="131"/>
      <c r="J538" s="131"/>
      <c r="K538" s="1037"/>
      <c r="L538" s="1343" t="s">
        <v>917</v>
      </c>
      <c r="M538" s="1344"/>
      <c r="N538" s="1344"/>
      <c r="O538" s="1342">
        <f>ROUNDUP(U538/S538,-1)</f>
        <v>568190</v>
      </c>
      <c r="P538" s="1342"/>
      <c r="Q538" s="1342"/>
      <c r="R538" s="1069" t="s">
        <v>838</v>
      </c>
      <c r="S538" s="1070">
        <v>12</v>
      </c>
      <c r="T538" s="1071" t="s">
        <v>689</v>
      </c>
      <c r="U538" s="1080">
        <v>6818195</v>
      </c>
      <c r="AE538" s="1011"/>
    </row>
    <row r="539" spans="1:31" ht="21.75" customHeight="1">
      <c r="A539" s="605"/>
      <c r="B539" s="620"/>
      <c r="C539" s="1139" t="s">
        <v>123</v>
      </c>
      <c r="D539" s="1013">
        <v>119100000</v>
      </c>
      <c r="E539" s="1014">
        <f>SUM(H539:K539)</f>
        <v>135000000</v>
      </c>
      <c r="F539" s="1014">
        <f>E539-D539</f>
        <v>15900000</v>
      </c>
      <c r="G539" s="1015">
        <f>F539/D539*100</f>
        <v>13.350125944584383</v>
      </c>
      <c r="H539" s="1016">
        <f>국도비세출!F29</f>
        <v>45000000</v>
      </c>
      <c r="I539" s="1017">
        <f>자부담세출!T41</f>
        <v>2000000</v>
      </c>
      <c r="J539" s="1017">
        <f>자부담세출!F41-자부담세출!T41</f>
        <v>48000000</v>
      </c>
      <c r="K539" s="1036">
        <f>후원금세출!F43</f>
        <v>40000000</v>
      </c>
      <c r="L539" s="1339" t="s">
        <v>967</v>
      </c>
      <c r="M539" s="1340"/>
      <c r="N539" s="1340"/>
      <c r="O539" s="1341"/>
      <c r="P539" s="1341"/>
      <c r="Q539" s="1341"/>
      <c r="R539" s="1084"/>
      <c r="S539" s="1086"/>
      <c r="T539" s="1087"/>
      <c r="U539" s="1141">
        <f>SUM(U540:U545)</f>
        <v>135000000</v>
      </c>
      <c r="V539" s="582">
        <f>E539-U539-U541-U542-U543-U544-U545</f>
        <v>-27000000</v>
      </c>
    </row>
    <row r="540" spans="1:31" ht="21.75" hidden="1" customHeight="1">
      <c r="A540" s="605"/>
      <c r="B540" s="620"/>
      <c r="C540" s="620"/>
      <c r="D540" s="607"/>
      <c r="E540" s="608"/>
      <c r="F540" s="609"/>
      <c r="G540" s="647"/>
      <c r="H540" s="642"/>
      <c r="I540" s="131"/>
      <c r="J540" s="131"/>
      <c r="K540" s="1037"/>
      <c r="L540" s="1343" t="s">
        <v>918</v>
      </c>
      <c r="M540" s="1344"/>
      <c r="N540" s="1344"/>
      <c r="O540" s="1342">
        <v>9000000</v>
      </c>
      <c r="P540" s="1342"/>
      <c r="Q540" s="1342"/>
      <c r="R540" s="1069" t="s">
        <v>838</v>
      </c>
      <c r="S540" s="1070">
        <v>12</v>
      </c>
      <c r="T540" s="1071" t="s">
        <v>689</v>
      </c>
      <c r="U540" s="1080">
        <f>O540*S540</f>
        <v>108000000</v>
      </c>
    </row>
    <row r="541" spans="1:31" ht="21.75" hidden="1" customHeight="1">
      <c r="A541" s="605"/>
      <c r="B541" s="620"/>
      <c r="C541" s="620"/>
      <c r="D541" s="607"/>
      <c r="E541" s="608"/>
      <c r="F541" s="609"/>
      <c r="G541" s="647"/>
      <c r="H541" s="642"/>
      <c r="I541" s="131"/>
      <c r="J541" s="131"/>
      <c r="K541" s="1037"/>
      <c r="L541" s="1343" t="s">
        <v>919</v>
      </c>
      <c r="M541" s="1344"/>
      <c r="N541" s="1344"/>
      <c r="O541" s="1342">
        <v>950000</v>
      </c>
      <c r="P541" s="1342"/>
      <c r="Q541" s="1342"/>
      <c r="R541" s="1069" t="s">
        <v>838</v>
      </c>
      <c r="S541" s="1070">
        <v>12</v>
      </c>
      <c r="T541" s="1071" t="s">
        <v>689</v>
      </c>
      <c r="U541" s="1080">
        <f>O541*S541</f>
        <v>11400000</v>
      </c>
    </row>
    <row r="542" spans="1:31" ht="21.75" hidden="1" customHeight="1">
      <c r="A542" s="605"/>
      <c r="B542" s="620"/>
      <c r="C542" s="620"/>
      <c r="D542" s="607"/>
      <c r="E542" s="608"/>
      <c r="F542" s="609"/>
      <c r="G542" s="647"/>
      <c r="H542" s="642"/>
      <c r="I542" s="131"/>
      <c r="J542" s="131"/>
      <c r="K542" s="1037"/>
      <c r="L542" s="1343" t="s">
        <v>920</v>
      </c>
      <c r="M542" s="1344"/>
      <c r="N542" s="1344"/>
      <c r="O542" s="1342">
        <v>200000</v>
      </c>
      <c r="P542" s="1342"/>
      <c r="Q542" s="1342"/>
      <c r="R542" s="1069" t="s">
        <v>838</v>
      </c>
      <c r="S542" s="1070">
        <v>12</v>
      </c>
      <c r="T542" s="1071" t="s">
        <v>689</v>
      </c>
      <c r="U542" s="1080">
        <f>O542*S542</f>
        <v>2400000</v>
      </c>
    </row>
    <row r="543" spans="1:31" ht="21.75" hidden="1" customHeight="1">
      <c r="A543" s="605"/>
      <c r="B543" s="620"/>
      <c r="C543" s="620"/>
      <c r="D543" s="607"/>
      <c r="E543" s="608"/>
      <c r="F543" s="609"/>
      <c r="G543" s="647"/>
      <c r="H543" s="642"/>
      <c r="I543" s="131"/>
      <c r="J543" s="131"/>
      <c r="K543" s="1037"/>
      <c r="L543" s="1343" t="s">
        <v>921</v>
      </c>
      <c r="M543" s="1344"/>
      <c r="N543" s="1344"/>
      <c r="O543" s="1342">
        <v>270000</v>
      </c>
      <c r="P543" s="1342"/>
      <c r="Q543" s="1342"/>
      <c r="R543" s="1069" t="s">
        <v>838</v>
      </c>
      <c r="S543" s="1070">
        <v>12</v>
      </c>
      <c r="T543" s="1071" t="s">
        <v>689</v>
      </c>
      <c r="U543" s="1080">
        <f>O543*S543</f>
        <v>3240000</v>
      </c>
    </row>
    <row r="544" spans="1:31" ht="21.75" hidden="1" customHeight="1">
      <c r="A544" s="605"/>
      <c r="B544" s="620"/>
      <c r="C544" s="620"/>
      <c r="D544" s="607"/>
      <c r="E544" s="608"/>
      <c r="F544" s="609"/>
      <c r="G544" s="647"/>
      <c r="H544" s="642"/>
      <c r="I544" s="131"/>
      <c r="J544" s="131"/>
      <c r="K544" s="1037"/>
      <c r="L544" s="1343" t="s">
        <v>922</v>
      </c>
      <c r="M544" s="1344"/>
      <c r="N544" s="1344"/>
      <c r="O544" s="1342">
        <v>1200000</v>
      </c>
      <c r="P544" s="1342"/>
      <c r="Q544" s="1342"/>
      <c r="R544" s="1069" t="s">
        <v>838</v>
      </c>
      <c r="S544" s="1097">
        <v>6</v>
      </c>
      <c r="T544" s="1071" t="s">
        <v>689</v>
      </c>
      <c r="U544" s="1080">
        <f>O544*S544</f>
        <v>7200000</v>
      </c>
    </row>
    <row r="545" spans="1:22" ht="21.75" hidden="1" customHeight="1">
      <c r="A545" s="605"/>
      <c r="B545" s="620"/>
      <c r="C545" s="620"/>
      <c r="D545" s="607"/>
      <c r="E545" s="608"/>
      <c r="F545" s="609"/>
      <c r="G545" s="647"/>
      <c r="H545" s="642"/>
      <c r="I545" s="131"/>
      <c r="J545" s="131"/>
      <c r="K545" s="1037"/>
      <c r="L545" s="1343" t="s">
        <v>923</v>
      </c>
      <c r="M545" s="1344"/>
      <c r="N545" s="1344"/>
      <c r="O545" s="1342">
        <f>ROUNDUP(U545/S545,-1)</f>
        <v>230000</v>
      </c>
      <c r="P545" s="1342"/>
      <c r="Q545" s="1342"/>
      <c r="R545" s="1069" t="s">
        <v>838</v>
      </c>
      <c r="S545" s="1070">
        <v>12</v>
      </c>
      <c r="T545" s="1071" t="s">
        <v>689</v>
      </c>
      <c r="U545" s="1080">
        <v>2760000</v>
      </c>
    </row>
    <row r="546" spans="1:22" ht="21.75" customHeight="1">
      <c r="A546" s="605"/>
      <c r="B546" s="620"/>
      <c r="C546" s="1139" t="s">
        <v>124</v>
      </c>
      <c r="D546" s="1013">
        <v>13625830</v>
      </c>
      <c r="E546" s="1014">
        <f>SUM(H546:K546)</f>
        <v>13700450</v>
      </c>
      <c r="F546" s="1014">
        <f>E546-D546</f>
        <v>74620</v>
      </c>
      <c r="G546" s="1015">
        <f>F546/D546*100</f>
        <v>0.5476363641701093</v>
      </c>
      <c r="H546" s="1016">
        <f>국도비세출!F30</f>
        <v>3700450</v>
      </c>
      <c r="I546" s="1017">
        <f>자부담세출!T42</f>
        <v>0</v>
      </c>
      <c r="J546" s="1017">
        <f>자부담세출!F42-자부담세출!T42</f>
        <v>2000000</v>
      </c>
      <c r="K546" s="1036">
        <f>후원금세출!F44</f>
        <v>8000000</v>
      </c>
      <c r="L546" s="1339" t="s">
        <v>961</v>
      </c>
      <c r="M546" s="1340"/>
      <c r="N546" s="1340"/>
      <c r="O546" s="1341"/>
      <c r="P546" s="1341"/>
      <c r="Q546" s="1341"/>
      <c r="R546" s="1084"/>
      <c r="S546" s="1086"/>
      <c r="T546" s="1087"/>
      <c r="U546" s="1141">
        <f>SUM(U547:U553)</f>
        <v>13700450</v>
      </c>
      <c r="V546" s="582">
        <f>E546-U546-U548-U549-U550-U551-U552-U553</f>
        <v>-12020450</v>
      </c>
    </row>
    <row r="547" spans="1:22" ht="21.75" hidden="1" customHeight="1">
      <c r="A547" s="605"/>
      <c r="B547" s="620"/>
      <c r="C547" s="620"/>
      <c r="D547" s="607"/>
      <c r="E547" s="608"/>
      <c r="F547" s="609"/>
      <c r="G547" s="647"/>
      <c r="H547" s="642"/>
      <c r="I547" s="131"/>
      <c r="J547" s="131"/>
      <c r="K547" s="1037"/>
      <c r="L547" s="1343" t="s">
        <v>924</v>
      </c>
      <c r="M547" s="1344"/>
      <c r="N547" s="1344"/>
      <c r="O547" s="1342">
        <v>140000</v>
      </c>
      <c r="P547" s="1342"/>
      <c r="Q547" s="1342"/>
      <c r="R547" s="1069" t="s">
        <v>838</v>
      </c>
      <c r="S547" s="1070">
        <v>12</v>
      </c>
      <c r="T547" s="1071" t="s">
        <v>689</v>
      </c>
      <c r="U547" s="1080">
        <f t="shared" ref="U547:U552" si="28">O547*S547</f>
        <v>1680000</v>
      </c>
    </row>
    <row r="548" spans="1:22" ht="21.75" hidden="1" customHeight="1">
      <c r="A548" s="605"/>
      <c r="B548" s="620"/>
      <c r="C548" s="620"/>
      <c r="D548" s="607"/>
      <c r="E548" s="608"/>
      <c r="F548" s="609"/>
      <c r="G548" s="647"/>
      <c r="H548" s="642"/>
      <c r="I548" s="131"/>
      <c r="J548" s="131"/>
      <c r="K548" s="1037"/>
      <c r="L548" s="1343" t="s">
        <v>925</v>
      </c>
      <c r="M548" s="1344"/>
      <c r="N548" s="1344"/>
      <c r="O548" s="1342">
        <v>120000</v>
      </c>
      <c r="P548" s="1342"/>
      <c r="Q548" s="1342"/>
      <c r="R548" s="1069" t="s">
        <v>838</v>
      </c>
      <c r="S548" s="1070">
        <v>12</v>
      </c>
      <c r="T548" s="1071" t="s">
        <v>689</v>
      </c>
      <c r="U548" s="1080">
        <f t="shared" si="28"/>
        <v>1440000</v>
      </c>
    </row>
    <row r="549" spans="1:22" ht="21.75" hidden="1" customHeight="1">
      <c r="A549" s="605"/>
      <c r="B549" s="620"/>
      <c r="C549" s="620"/>
      <c r="D549" s="607"/>
      <c r="E549" s="608"/>
      <c r="F549" s="609"/>
      <c r="G549" s="647"/>
      <c r="H549" s="642"/>
      <c r="I549" s="131"/>
      <c r="J549" s="131"/>
      <c r="K549" s="1037"/>
      <c r="L549" s="1343" t="s">
        <v>926</v>
      </c>
      <c r="M549" s="1344"/>
      <c r="N549" s="1344"/>
      <c r="O549" s="1342">
        <v>700000</v>
      </c>
      <c r="P549" s="1342"/>
      <c r="Q549" s="1342"/>
      <c r="R549" s="1069" t="s">
        <v>838</v>
      </c>
      <c r="S549" s="1097">
        <v>8</v>
      </c>
      <c r="T549" s="1071" t="s">
        <v>689</v>
      </c>
      <c r="U549" s="1080">
        <f t="shared" si="28"/>
        <v>5600000</v>
      </c>
    </row>
    <row r="550" spans="1:22" ht="21.75" hidden="1" customHeight="1">
      <c r="A550" s="605"/>
      <c r="B550" s="620"/>
      <c r="C550" s="620"/>
      <c r="D550" s="607"/>
      <c r="E550" s="608"/>
      <c r="F550" s="609"/>
      <c r="G550" s="647"/>
      <c r="H550" s="642"/>
      <c r="I550" s="131"/>
      <c r="J550" s="131"/>
      <c r="K550" s="1037"/>
      <c r="L550" s="1343" t="s">
        <v>927</v>
      </c>
      <c r="M550" s="1344"/>
      <c r="N550" s="1344"/>
      <c r="O550" s="1342">
        <v>2500000</v>
      </c>
      <c r="P550" s="1342"/>
      <c r="Q550" s="1342"/>
      <c r="R550" s="1069" t="s">
        <v>838</v>
      </c>
      <c r="S550" s="1097">
        <v>1</v>
      </c>
      <c r="T550" s="1071" t="s">
        <v>689</v>
      </c>
      <c r="U550" s="1080">
        <f t="shared" si="28"/>
        <v>2500000</v>
      </c>
    </row>
    <row r="551" spans="1:22" ht="21.75" hidden="1" customHeight="1">
      <c r="A551" s="605"/>
      <c r="B551" s="620"/>
      <c r="C551" s="620"/>
      <c r="D551" s="607"/>
      <c r="E551" s="608"/>
      <c r="F551" s="609"/>
      <c r="G551" s="647"/>
      <c r="H551" s="642"/>
      <c r="I551" s="131"/>
      <c r="J551" s="131"/>
      <c r="K551" s="1037"/>
      <c r="L551" s="1343" t="s">
        <v>928</v>
      </c>
      <c r="M551" s="1344"/>
      <c r="N551" s="1344"/>
      <c r="O551" s="1342">
        <v>400000</v>
      </c>
      <c r="P551" s="1342"/>
      <c r="Q551" s="1342"/>
      <c r="R551" s="1069" t="s">
        <v>838</v>
      </c>
      <c r="S551" s="1097">
        <v>1</v>
      </c>
      <c r="T551" s="1071" t="s">
        <v>689</v>
      </c>
      <c r="U551" s="1080">
        <f t="shared" si="28"/>
        <v>400000</v>
      </c>
    </row>
    <row r="552" spans="1:22" ht="21.75" hidden="1" customHeight="1">
      <c r="A552" s="605"/>
      <c r="B552" s="620"/>
      <c r="C552" s="620"/>
      <c r="D552" s="607"/>
      <c r="E552" s="608"/>
      <c r="F552" s="609"/>
      <c r="G552" s="647"/>
      <c r="H552" s="642"/>
      <c r="I552" s="131"/>
      <c r="J552" s="131"/>
      <c r="K552" s="1037"/>
      <c r="L552" s="1343" t="s">
        <v>930</v>
      </c>
      <c r="M552" s="1344"/>
      <c r="N552" s="1344"/>
      <c r="O552" s="1342">
        <v>200000</v>
      </c>
      <c r="P552" s="1342"/>
      <c r="Q552" s="1342"/>
      <c r="R552" s="1069" t="s">
        <v>838</v>
      </c>
      <c r="S552" s="1097">
        <v>1</v>
      </c>
      <c r="T552" s="1071" t="s">
        <v>689</v>
      </c>
      <c r="U552" s="1080">
        <f t="shared" si="28"/>
        <v>200000</v>
      </c>
    </row>
    <row r="553" spans="1:22" ht="21.75" hidden="1" customHeight="1">
      <c r="A553" s="605"/>
      <c r="B553" s="620"/>
      <c r="C553" s="620"/>
      <c r="D553" s="607"/>
      <c r="E553" s="608"/>
      <c r="F553" s="609"/>
      <c r="G553" s="647"/>
      <c r="H553" s="642"/>
      <c r="I553" s="131"/>
      <c r="J553" s="131"/>
      <c r="K553" s="1037"/>
      <c r="L553" s="1343" t="s">
        <v>931</v>
      </c>
      <c r="M553" s="1344"/>
      <c r="N553" s="1344"/>
      <c r="O553" s="1342">
        <f>ROUNDUP(U553/S553,-1)</f>
        <v>1880450</v>
      </c>
      <c r="P553" s="1342"/>
      <c r="Q553" s="1342"/>
      <c r="R553" s="1069" t="s">
        <v>838</v>
      </c>
      <c r="S553" s="1097">
        <v>1</v>
      </c>
      <c r="T553" s="1071" t="s">
        <v>689</v>
      </c>
      <c r="U553" s="1080">
        <v>1880450</v>
      </c>
    </row>
    <row r="554" spans="1:22" ht="21.75" customHeight="1">
      <c r="A554" s="605"/>
      <c r="B554" s="620"/>
      <c r="C554" s="1139" t="s">
        <v>125</v>
      </c>
      <c r="D554" s="1013">
        <v>26000000</v>
      </c>
      <c r="E554" s="1014">
        <f>SUM(H554:K554)</f>
        <v>22800000</v>
      </c>
      <c r="F554" s="1014">
        <f>E554-D554</f>
        <v>-3200000</v>
      </c>
      <c r="G554" s="1015">
        <f>F554/D554*100</f>
        <v>-12.307692307692308</v>
      </c>
      <c r="H554" s="1016">
        <f>국도비세출!F34</f>
        <v>4500000</v>
      </c>
      <c r="I554" s="1017">
        <v>300000</v>
      </c>
      <c r="J554" s="1017">
        <f>자부담세출!F43-자부담세출!T43</f>
        <v>0</v>
      </c>
      <c r="K554" s="1036">
        <f>후원금세출!F45</f>
        <v>18000000</v>
      </c>
      <c r="L554" s="1339" t="s">
        <v>962</v>
      </c>
      <c r="M554" s="1340"/>
      <c r="N554" s="1340"/>
      <c r="O554" s="1341"/>
      <c r="P554" s="1341"/>
      <c r="Q554" s="1341"/>
      <c r="R554" s="1084"/>
      <c r="S554" s="1140"/>
      <c r="T554" s="1087"/>
      <c r="U554" s="1141">
        <f>SUM(U555:U556)</f>
        <v>22800000</v>
      </c>
    </row>
    <row r="555" spans="1:22" ht="22.5" hidden="1" customHeight="1">
      <c r="A555" s="605"/>
      <c r="B555" s="620"/>
      <c r="C555" s="620"/>
      <c r="D555" s="607"/>
      <c r="E555" s="608"/>
      <c r="F555" s="609"/>
      <c r="G555" s="647"/>
      <c r="H555" s="642"/>
      <c r="I555" s="131"/>
      <c r="J555" s="131"/>
      <c r="K555" s="1037"/>
      <c r="L555" s="1343" t="s">
        <v>932</v>
      </c>
      <c r="M555" s="1344"/>
      <c r="N555" s="1344"/>
      <c r="O555" s="1342">
        <v>1200000</v>
      </c>
      <c r="P555" s="1342"/>
      <c r="Q555" s="1342"/>
      <c r="R555" s="1069" t="s">
        <v>838</v>
      </c>
      <c r="S555" s="1097">
        <v>12</v>
      </c>
      <c r="T555" s="1071" t="s">
        <v>689</v>
      </c>
      <c r="U555" s="1080">
        <f>O555*S555</f>
        <v>14400000</v>
      </c>
    </row>
    <row r="556" spans="1:22" ht="22.5" hidden="1" customHeight="1">
      <c r="A556" s="605"/>
      <c r="B556" s="620"/>
      <c r="C556" s="620"/>
      <c r="D556" s="607"/>
      <c r="E556" s="608"/>
      <c r="F556" s="609"/>
      <c r="G556" s="647"/>
      <c r="H556" s="642"/>
      <c r="I556" s="131"/>
      <c r="J556" s="131"/>
      <c r="K556" s="1037"/>
      <c r="L556" s="1343" t="s">
        <v>933</v>
      </c>
      <c r="M556" s="1344"/>
      <c r="N556" s="1344"/>
      <c r="O556" s="1342">
        <f>ROUNDUP(U556/S556,-1)</f>
        <v>700000</v>
      </c>
      <c r="P556" s="1342"/>
      <c r="Q556" s="1342"/>
      <c r="R556" s="1069" t="s">
        <v>838</v>
      </c>
      <c r="S556" s="1097">
        <v>12</v>
      </c>
      <c r="T556" s="1071" t="s">
        <v>689</v>
      </c>
      <c r="U556" s="1080">
        <v>8400000</v>
      </c>
    </row>
    <row r="557" spans="1:22" ht="21.75" customHeight="1">
      <c r="A557" s="605"/>
      <c r="B557" s="620"/>
      <c r="C557" s="1139" t="s">
        <v>126</v>
      </c>
      <c r="D557" s="1013">
        <v>14000000</v>
      </c>
      <c r="E557" s="1014">
        <f>SUM(H557:K557)</f>
        <v>6500000</v>
      </c>
      <c r="F557" s="1014">
        <f>E557-D557</f>
        <v>-7500000</v>
      </c>
      <c r="G557" s="1015">
        <f>F557/D557*100</f>
        <v>-53.571428571428569</v>
      </c>
      <c r="H557" s="1016">
        <v>0</v>
      </c>
      <c r="I557" s="1017">
        <v>1500000</v>
      </c>
      <c r="J557" s="1017">
        <f>자부담세출!F44-자부담세출!T44</f>
        <v>2000000</v>
      </c>
      <c r="K557" s="1036">
        <f>후원금세출!F46</f>
        <v>3000000</v>
      </c>
      <c r="L557" s="1339" t="s">
        <v>963</v>
      </c>
      <c r="M557" s="1340"/>
      <c r="N557" s="1340"/>
      <c r="O557" s="1341"/>
      <c r="P557" s="1341"/>
      <c r="Q557" s="1341"/>
      <c r="R557" s="1084"/>
      <c r="S557" s="1140"/>
      <c r="T557" s="1087"/>
      <c r="U557" s="1141">
        <f>SUM(U558:U560)</f>
        <v>6500000</v>
      </c>
      <c r="V557" s="582">
        <f>E557-U557-U559-U560</f>
        <v>-1500000</v>
      </c>
    </row>
    <row r="558" spans="1:22" ht="21.75" hidden="1" customHeight="1">
      <c r="A558" s="605"/>
      <c r="B558" s="620"/>
      <c r="C558" s="620"/>
      <c r="D558" s="607"/>
      <c r="E558" s="608"/>
      <c r="F558" s="609"/>
      <c r="G558" s="1028"/>
      <c r="H558" s="642"/>
      <c r="I558" s="131"/>
      <c r="J558" s="131"/>
      <c r="K558" s="1037"/>
      <c r="L558" s="1343" t="s">
        <v>934</v>
      </c>
      <c r="M558" s="1344"/>
      <c r="N558" s="1344"/>
      <c r="O558" s="1342">
        <v>2500000</v>
      </c>
      <c r="P558" s="1342"/>
      <c r="Q558" s="1342"/>
      <c r="R558" s="1069" t="s">
        <v>838</v>
      </c>
      <c r="S558" s="1097">
        <v>2</v>
      </c>
      <c r="T558" s="1071" t="s">
        <v>689</v>
      </c>
      <c r="U558" s="1080">
        <f t="shared" ref="U558" si="29">O558*S558</f>
        <v>5000000</v>
      </c>
    </row>
    <row r="559" spans="1:22" ht="21.75" hidden="1" customHeight="1">
      <c r="A559" s="605"/>
      <c r="B559" s="620"/>
      <c r="C559" s="620"/>
      <c r="D559" s="607"/>
      <c r="E559" s="608"/>
      <c r="F559" s="609"/>
      <c r="G559" s="1028"/>
      <c r="H559" s="642"/>
      <c r="I559" s="131"/>
      <c r="J559" s="131"/>
      <c r="K559" s="1037"/>
      <c r="L559" s="1343" t="s">
        <v>935</v>
      </c>
      <c r="M559" s="1344"/>
      <c r="N559" s="1344"/>
      <c r="O559" s="1342">
        <v>500000</v>
      </c>
      <c r="P559" s="1342"/>
      <c r="Q559" s="1342"/>
      <c r="R559" s="1069" t="s">
        <v>838</v>
      </c>
      <c r="S559" s="1097">
        <v>1</v>
      </c>
      <c r="T559" s="1071" t="s">
        <v>689</v>
      </c>
      <c r="U559" s="1080">
        <f t="shared" ref="U559" si="30">O559*S559</f>
        <v>500000</v>
      </c>
    </row>
    <row r="560" spans="1:22" ht="21.75" hidden="1" customHeight="1">
      <c r="A560" s="605"/>
      <c r="B560" s="620"/>
      <c r="C560" s="620"/>
      <c r="D560" s="607"/>
      <c r="E560" s="608"/>
      <c r="F560" s="609"/>
      <c r="G560" s="1028"/>
      <c r="H560" s="642"/>
      <c r="I560" s="131"/>
      <c r="J560" s="131"/>
      <c r="K560" s="1037"/>
      <c r="L560" s="1343" t="s">
        <v>936</v>
      </c>
      <c r="M560" s="1344"/>
      <c r="N560" s="1344"/>
      <c r="O560" s="1342">
        <f t="shared" ref="O560" si="31">ROUNDUP(U560/S560,-1)</f>
        <v>83340</v>
      </c>
      <c r="P560" s="1342"/>
      <c r="Q560" s="1342"/>
      <c r="R560" s="1069" t="s">
        <v>838</v>
      </c>
      <c r="S560" s="1097">
        <v>12</v>
      </c>
      <c r="T560" s="1071" t="s">
        <v>689</v>
      </c>
      <c r="U560" s="1080">
        <v>1000000</v>
      </c>
    </row>
    <row r="561" spans="1:22" ht="21.75" customHeight="1">
      <c r="A561" s="621" t="s">
        <v>127</v>
      </c>
      <c r="B561" s="622" t="s">
        <v>92</v>
      </c>
      <c r="C561" s="622"/>
      <c r="D561" s="623">
        <f>D562</f>
        <v>167900000</v>
      </c>
      <c r="E561" s="623">
        <f>E562</f>
        <v>229830000</v>
      </c>
      <c r="F561" s="624">
        <f>E561-D561</f>
        <v>61930000</v>
      </c>
      <c r="G561" s="648">
        <f>F561/D561*100</f>
        <v>36.885050625372244</v>
      </c>
      <c r="H561" s="644">
        <f>H562</f>
        <v>16430000</v>
      </c>
      <c r="I561" s="130">
        <f t="shared" ref="I561:J561" si="32">I562</f>
        <v>5000000</v>
      </c>
      <c r="J561" s="130">
        <f t="shared" si="32"/>
        <v>5000000</v>
      </c>
      <c r="K561" s="1039">
        <f>K562</f>
        <v>203400000</v>
      </c>
      <c r="L561" s="1137" t="s">
        <v>972</v>
      </c>
      <c r="M561" s="1062"/>
      <c r="N561" s="1062"/>
      <c r="O561" s="625"/>
      <c r="P561" s="625"/>
      <c r="Q561" s="625"/>
      <c r="R561" s="625"/>
      <c r="S561" s="625"/>
      <c r="T561" s="625"/>
      <c r="U561" s="1128">
        <f>U562</f>
        <v>229830000</v>
      </c>
    </row>
    <row r="562" spans="1:22" ht="21.75" customHeight="1">
      <c r="A562" s="605"/>
      <c r="B562" s="618" t="s">
        <v>128</v>
      </c>
      <c r="C562" s="618" t="s">
        <v>94</v>
      </c>
      <c r="D562" s="626">
        <f>SUM(D563:D580)</f>
        <v>167900000</v>
      </c>
      <c r="E562" s="626">
        <f>SUM(E563:E580)</f>
        <v>229830000</v>
      </c>
      <c r="F562" s="615">
        <f>E562-D562</f>
        <v>61930000</v>
      </c>
      <c r="G562" s="649">
        <f>F562/D562*100</f>
        <v>36.885050625372244</v>
      </c>
      <c r="H562" s="643">
        <f>SUM(H563:H580)</f>
        <v>16430000</v>
      </c>
      <c r="I562" s="616">
        <f t="shared" ref="I562:K562" si="33">SUM(I563:I580)</f>
        <v>5000000</v>
      </c>
      <c r="J562" s="616">
        <f t="shared" si="33"/>
        <v>5000000</v>
      </c>
      <c r="K562" s="1038">
        <f t="shared" si="33"/>
        <v>203400000</v>
      </c>
      <c r="L562" s="1138" t="s">
        <v>971</v>
      </c>
      <c r="M562" s="1006"/>
      <c r="N562" s="1006"/>
      <c r="O562" s="627"/>
      <c r="P562" s="627"/>
      <c r="Q562" s="627"/>
      <c r="R562" s="627"/>
      <c r="S562" s="627"/>
      <c r="T562" s="627"/>
      <c r="U562" s="1126">
        <f>U563+U564+U580</f>
        <v>229830000</v>
      </c>
    </row>
    <row r="563" spans="1:22" ht="21.75" customHeight="1">
      <c r="A563" s="605"/>
      <c r="B563" s="620"/>
      <c r="C563" s="1139" t="s">
        <v>128</v>
      </c>
      <c r="D563" s="1013">
        <v>10000000</v>
      </c>
      <c r="E563" s="1014">
        <f>SUM(H563:K563)</f>
        <v>0</v>
      </c>
      <c r="F563" s="1014">
        <f t="shared" ref="F563:F580" si="34">E563-D563</f>
        <v>-10000000</v>
      </c>
      <c r="G563" s="1015">
        <f t="shared" ref="G563:G580" si="35">F563/D563*100</f>
        <v>-100</v>
      </c>
      <c r="H563" s="1016">
        <v>0</v>
      </c>
      <c r="I563" s="1017">
        <f>자부담세출!T47</f>
        <v>0</v>
      </c>
      <c r="J563" s="1017">
        <f>자부담세출!U47</f>
        <v>0</v>
      </c>
      <c r="K563" s="1036">
        <v>0</v>
      </c>
      <c r="L563" s="1339" t="s">
        <v>964</v>
      </c>
      <c r="M563" s="1340"/>
      <c r="N563" s="1340"/>
      <c r="O563" s="1142"/>
      <c r="P563" s="1143"/>
      <c r="Q563" s="1142"/>
      <c r="R563" s="1144"/>
      <c r="S563" s="1142"/>
      <c r="T563" s="1145"/>
      <c r="U563" s="1136">
        <v>0</v>
      </c>
    </row>
    <row r="564" spans="1:22" ht="21.75" customHeight="1">
      <c r="A564" s="605"/>
      <c r="B564" s="606"/>
      <c r="C564" s="1012" t="s">
        <v>129</v>
      </c>
      <c r="D564" s="1013">
        <v>65900000</v>
      </c>
      <c r="E564" s="1014">
        <f>SUM(H564:K564)</f>
        <v>107730000</v>
      </c>
      <c r="F564" s="1014">
        <f>E564-D564</f>
        <v>41830000</v>
      </c>
      <c r="G564" s="1015">
        <f t="shared" si="35"/>
        <v>63.474962063732931</v>
      </c>
      <c r="H564" s="1016">
        <f>국도비세출!F39</f>
        <v>330000</v>
      </c>
      <c r="I564" s="1017">
        <f>자부담세출!T48</f>
        <v>5000000</v>
      </c>
      <c r="J564" s="1017">
        <f>자부담세출!U48</f>
        <v>0</v>
      </c>
      <c r="K564" s="1036">
        <f>후원금세출!F50</f>
        <v>102400000</v>
      </c>
      <c r="L564" s="1339" t="s">
        <v>965</v>
      </c>
      <c r="M564" s="1340"/>
      <c r="N564" s="1340"/>
      <c r="O564" s="1341"/>
      <c r="P564" s="1341"/>
      <c r="Q564" s="1341"/>
      <c r="R564" s="1084"/>
      <c r="S564" s="1140"/>
      <c r="T564" s="1087"/>
      <c r="U564" s="1141">
        <f>SUM(U565:U579)</f>
        <v>107730000</v>
      </c>
      <c r="V564" s="582">
        <f>E564-U564-U566-U567-U568-U569-U570-U571-U572-U573-U574-U575-U576-U579-U577-U578</f>
        <v>-103542000</v>
      </c>
    </row>
    <row r="565" spans="1:22" ht="21.75" hidden="1" customHeight="1">
      <c r="A565" s="605"/>
      <c r="B565" s="606"/>
      <c r="C565" s="606"/>
      <c r="D565" s="607"/>
      <c r="E565" s="608"/>
      <c r="F565" s="609"/>
      <c r="G565" s="647"/>
      <c r="H565" s="642"/>
      <c r="I565" s="131"/>
      <c r="J565" s="131"/>
      <c r="K565" s="1037"/>
      <c r="L565" s="1343" t="s">
        <v>937</v>
      </c>
      <c r="M565" s="1344"/>
      <c r="N565" s="1344"/>
      <c r="O565" s="1342">
        <v>1047000</v>
      </c>
      <c r="P565" s="1342"/>
      <c r="Q565" s="1342"/>
      <c r="R565" s="1069" t="s">
        <v>838</v>
      </c>
      <c r="S565" s="1097">
        <v>4</v>
      </c>
      <c r="T565" s="1071" t="s">
        <v>689</v>
      </c>
      <c r="U565" s="1080">
        <f t="shared" ref="U565" si="36">O565*S565</f>
        <v>4188000</v>
      </c>
    </row>
    <row r="566" spans="1:22" ht="21.75" hidden="1" customHeight="1">
      <c r="A566" s="605"/>
      <c r="B566" s="606"/>
      <c r="C566" s="606"/>
      <c r="D566" s="607"/>
      <c r="E566" s="608"/>
      <c r="F566" s="609"/>
      <c r="G566" s="647"/>
      <c r="H566" s="642"/>
      <c r="I566" s="131"/>
      <c r="J566" s="131"/>
      <c r="K566" s="1037"/>
      <c r="L566" s="1343" t="s">
        <v>938</v>
      </c>
      <c r="M566" s="1344"/>
      <c r="N566" s="1344"/>
      <c r="O566" s="1342">
        <v>1509300</v>
      </c>
      <c r="P566" s="1342"/>
      <c r="Q566" s="1342"/>
      <c r="R566" s="1069" t="s">
        <v>838</v>
      </c>
      <c r="S566" s="1097">
        <v>1</v>
      </c>
      <c r="T566" s="1071" t="s">
        <v>689</v>
      </c>
      <c r="U566" s="1080">
        <f t="shared" ref="U566:U576" si="37">O566*S566</f>
        <v>1509300</v>
      </c>
    </row>
    <row r="567" spans="1:22" ht="21.75" hidden="1" customHeight="1">
      <c r="A567" s="605"/>
      <c r="B567" s="606"/>
      <c r="C567" s="606"/>
      <c r="D567" s="607"/>
      <c r="E567" s="608"/>
      <c r="F567" s="609"/>
      <c r="G567" s="647"/>
      <c r="H567" s="642"/>
      <c r="I567" s="131"/>
      <c r="J567" s="131"/>
      <c r="K567" s="1037"/>
      <c r="L567" s="1343" t="s">
        <v>939</v>
      </c>
      <c r="M567" s="1344"/>
      <c r="N567" s="1344"/>
      <c r="O567" s="1342">
        <v>292287</v>
      </c>
      <c r="P567" s="1342"/>
      <c r="Q567" s="1342"/>
      <c r="R567" s="1069" t="s">
        <v>838</v>
      </c>
      <c r="S567" s="1097">
        <v>10</v>
      </c>
      <c r="T567" s="1071" t="s">
        <v>689</v>
      </c>
      <c r="U567" s="1080">
        <f t="shared" si="37"/>
        <v>2922870</v>
      </c>
    </row>
    <row r="568" spans="1:22" ht="21.75" hidden="1" customHeight="1">
      <c r="A568" s="605"/>
      <c r="B568" s="606"/>
      <c r="C568" s="606"/>
      <c r="D568" s="607"/>
      <c r="E568" s="608"/>
      <c r="F568" s="609"/>
      <c r="G568" s="647"/>
      <c r="H568" s="642"/>
      <c r="I568" s="131"/>
      <c r="J568" s="131"/>
      <c r="K568" s="1037"/>
      <c r="L568" s="1343" t="s">
        <v>940</v>
      </c>
      <c r="M568" s="1344"/>
      <c r="N568" s="1344"/>
      <c r="O568" s="1342">
        <v>4251890</v>
      </c>
      <c r="P568" s="1342"/>
      <c r="Q568" s="1342"/>
      <c r="R568" s="1069" t="s">
        <v>838</v>
      </c>
      <c r="S568" s="1097">
        <v>1</v>
      </c>
      <c r="T568" s="1071" t="s">
        <v>689</v>
      </c>
      <c r="U568" s="1080">
        <f t="shared" si="37"/>
        <v>4251890</v>
      </c>
    </row>
    <row r="569" spans="1:22" ht="21.75" hidden="1" customHeight="1">
      <c r="A569" s="605"/>
      <c r="B569" s="606"/>
      <c r="C569" s="606"/>
      <c r="D569" s="607"/>
      <c r="E569" s="608"/>
      <c r="F569" s="609"/>
      <c r="G569" s="647"/>
      <c r="H569" s="642"/>
      <c r="I569" s="131"/>
      <c r="J569" s="131"/>
      <c r="K569" s="1037"/>
      <c r="L569" s="1343" t="s">
        <v>941</v>
      </c>
      <c r="M569" s="1344"/>
      <c r="N569" s="1344"/>
      <c r="O569" s="1342">
        <v>719824</v>
      </c>
      <c r="P569" s="1342"/>
      <c r="Q569" s="1342"/>
      <c r="R569" s="1069" t="s">
        <v>838</v>
      </c>
      <c r="S569" s="1097">
        <v>7</v>
      </c>
      <c r="T569" s="1071" t="s">
        <v>689</v>
      </c>
      <c r="U569" s="1080">
        <f t="shared" si="37"/>
        <v>5038768</v>
      </c>
    </row>
    <row r="570" spans="1:22" ht="21.75" hidden="1" customHeight="1">
      <c r="A570" s="605"/>
      <c r="B570" s="606"/>
      <c r="C570" s="606"/>
      <c r="D570" s="607"/>
      <c r="E570" s="608"/>
      <c r="F570" s="609"/>
      <c r="G570" s="647"/>
      <c r="H570" s="642"/>
      <c r="I570" s="131"/>
      <c r="J570" s="131"/>
      <c r="K570" s="1037"/>
      <c r="L570" s="1343" t="s">
        <v>942</v>
      </c>
      <c r="M570" s="1344"/>
      <c r="N570" s="1344"/>
      <c r="O570" s="1342">
        <f>6000000+6000000+6000000+700000</f>
        <v>18700000</v>
      </c>
      <c r="P570" s="1342"/>
      <c r="Q570" s="1342"/>
      <c r="R570" s="1069" t="s">
        <v>838</v>
      </c>
      <c r="S570" s="1097">
        <v>1</v>
      </c>
      <c r="T570" s="1071" t="s">
        <v>689</v>
      </c>
      <c r="U570" s="1080">
        <f t="shared" si="37"/>
        <v>18700000</v>
      </c>
    </row>
    <row r="571" spans="1:22" ht="21.75" hidden="1" customHeight="1">
      <c r="A571" s="605"/>
      <c r="B571" s="606"/>
      <c r="C571" s="606"/>
      <c r="D571" s="607"/>
      <c r="E571" s="608"/>
      <c r="F571" s="609"/>
      <c r="G571" s="647"/>
      <c r="H571" s="642"/>
      <c r="I571" s="131"/>
      <c r="J571" s="131"/>
      <c r="K571" s="1037"/>
      <c r="L571" s="1343" t="s">
        <v>943</v>
      </c>
      <c r="M571" s="1344"/>
      <c r="N571" s="1344"/>
      <c r="O571" s="1342">
        <v>330000</v>
      </c>
      <c r="P571" s="1342"/>
      <c r="Q571" s="1342"/>
      <c r="R571" s="1069" t="s">
        <v>838</v>
      </c>
      <c r="S571" s="1097">
        <v>12</v>
      </c>
      <c r="T571" s="1071" t="s">
        <v>689</v>
      </c>
      <c r="U571" s="1080">
        <f t="shared" si="37"/>
        <v>3960000</v>
      </c>
    </row>
    <row r="572" spans="1:22" ht="21.75" hidden="1" customHeight="1">
      <c r="A572" s="605"/>
      <c r="B572" s="606"/>
      <c r="C572" s="606"/>
      <c r="D572" s="607"/>
      <c r="E572" s="608"/>
      <c r="F572" s="609"/>
      <c r="G572" s="647"/>
      <c r="H572" s="642"/>
      <c r="I572" s="131"/>
      <c r="J572" s="131"/>
      <c r="K572" s="1037"/>
      <c r="L572" s="1343" t="s">
        <v>944</v>
      </c>
      <c r="M572" s="1344"/>
      <c r="N572" s="1344"/>
      <c r="O572" s="1342">
        <v>31308000</v>
      </c>
      <c r="P572" s="1342"/>
      <c r="Q572" s="1342"/>
      <c r="R572" s="1069" t="s">
        <v>838</v>
      </c>
      <c r="S572" s="1097">
        <v>1</v>
      </c>
      <c r="T572" s="1071" t="s">
        <v>689</v>
      </c>
      <c r="U572" s="1080">
        <f t="shared" si="37"/>
        <v>31308000</v>
      </c>
    </row>
    <row r="573" spans="1:22" ht="21.75" hidden="1" customHeight="1">
      <c r="A573" s="605"/>
      <c r="B573" s="606"/>
      <c r="C573" s="606"/>
      <c r="D573" s="607"/>
      <c r="E573" s="608"/>
      <c r="F573" s="609"/>
      <c r="G573" s="647"/>
      <c r="H573" s="642"/>
      <c r="I573" s="131"/>
      <c r="J573" s="131"/>
      <c r="K573" s="1037"/>
      <c r="L573" s="1343" t="s">
        <v>945</v>
      </c>
      <c r="M573" s="1344"/>
      <c r="N573" s="1344"/>
      <c r="O573" s="1342">
        <v>13200000</v>
      </c>
      <c r="P573" s="1342"/>
      <c r="Q573" s="1342"/>
      <c r="R573" s="1069" t="s">
        <v>838</v>
      </c>
      <c r="S573" s="1097">
        <v>1</v>
      </c>
      <c r="T573" s="1071" t="s">
        <v>689</v>
      </c>
      <c r="U573" s="1080">
        <f t="shared" si="37"/>
        <v>13200000</v>
      </c>
    </row>
    <row r="574" spans="1:22" ht="21.75" hidden="1" customHeight="1">
      <c r="A574" s="605"/>
      <c r="B574" s="606"/>
      <c r="C574" s="606"/>
      <c r="D574" s="607"/>
      <c r="E574" s="608"/>
      <c r="F574" s="609"/>
      <c r="G574" s="647"/>
      <c r="H574" s="642"/>
      <c r="I574" s="131"/>
      <c r="J574" s="131"/>
      <c r="K574" s="1037"/>
      <c r="L574" s="1343" t="s">
        <v>946</v>
      </c>
      <c r="M574" s="1344"/>
      <c r="N574" s="1344"/>
      <c r="O574" s="1342">
        <v>2387000</v>
      </c>
      <c r="P574" s="1342"/>
      <c r="Q574" s="1342"/>
      <c r="R574" s="1069" t="s">
        <v>838</v>
      </c>
      <c r="S574" s="1097">
        <v>1</v>
      </c>
      <c r="T574" s="1071" t="s">
        <v>689</v>
      </c>
      <c r="U574" s="1080">
        <f t="shared" si="37"/>
        <v>2387000</v>
      </c>
    </row>
    <row r="575" spans="1:22" ht="21.75" hidden="1" customHeight="1">
      <c r="A575" s="605"/>
      <c r="B575" s="606"/>
      <c r="C575" s="606"/>
      <c r="D575" s="607"/>
      <c r="E575" s="608"/>
      <c r="F575" s="609"/>
      <c r="G575" s="647"/>
      <c r="H575" s="642"/>
      <c r="I575" s="131"/>
      <c r="J575" s="131"/>
      <c r="K575" s="1037"/>
      <c r="L575" s="1343" t="s">
        <v>947</v>
      </c>
      <c r="M575" s="1344"/>
      <c r="N575" s="1344"/>
      <c r="O575" s="1342">
        <v>5720000</v>
      </c>
      <c r="P575" s="1342"/>
      <c r="Q575" s="1342"/>
      <c r="R575" s="1069" t="s">
        <v>838</v>
      </c>
      <c r="S575" s="1097">
        <v>1</v>
      </c>
      <c r="T575" s="1071" t="s">
        <v>689</v>
      </c>
      <c r="U575" s="1080">
        <f t="shared" si="37"/>
        <v>5720000</v>
      </c>
    </row>
    <row r="576" spans="1:22" ht="21.75" hidden="1" customHeight="1">
      <c r="A576" s="605"/>
      <c r="B576" s="606"/>
      <c r="C576" s="606"/>
      <c r="D576" s="607"/>
      <c r="E576" s="608"/>
      <c r="F576" s="609"/>
      <c r="G576" s="647"/>
      <c r="H576" s="642"/>
      <c r="I576" s="131"/>
      <c r="J576" s="131"/>
      <c r="K576" s="1037"/>
      <c r="L576" s="1343" t="s">
        <v>948</v>
      </c>
      <c r="M576" s="1344"/>
      <c r="N576" s="1344"/>
      <c r="O576" s="1342">
        <v>3660000</v>
      </c>
      <c r="P576" s="1342"/>
      <c r="Q576" s="1342"/>
      <c r="R576" s="1069" t="s">
        <v>838</v>
      </c>
      <c r="S576" s="1097">
        <v>1</v>
      </c>
      <c r="T576" s="1071" t="s">
        <v>689</v>
      </c>
      <c r="U576" s="1080">
        <f t="shared" si="37"/>
        <v>3660000</v>
      </c>
    </row>
    <row r="577" spans="1:22" ht="21.75" hidden="1" customHeight="1">
      <c r="A577" s="605"/>
      <c r="B577" s="606"/>
      <c r="C577" s="606"/>
      <c r="D577" s="607"/>
      <c r="E577" s="608"/>
      <c r="F577" s="609"/>
      <c r="G577" s="647"/>
      <c r="H577" s="642"/>
      <c r="I577" s="131"/>
      <c r="J577" s="131"/>
      <c r="K577" s="1037"/>
      <c r="L577" s="1343" t="s">
        <v>949</v>
      </c>
      <c r="M577" s="1344"/>
      <c r="N577" s="1344"/>
      <c r="O577" s="1342">
        <v>1100000</v>
      </c>
      <c r="P577" s="1342"/>
      <c r="Q577" s="1342"/>
      <c r="R577" s="1069" t="s">
        <v>838</v>
      </c>
      <c r="S577" s="1097">
        <v>1</v>
      </c>
      <c r="T577" s="1071" t="s">
        <v>689</v>
      </c>
      <c r="U577" s="1080">
        <f t="shared" ref="U577:U578" si="38">O577*S577</f>
        <v>1100000</v>
      </c>
    </row>
    <row r="578" spans="1:22" ht="21.75" hidden="1" customHeight="1">
      <c r="A578" s="605"/>
      <c r="B578" s="606"/>
      <c r="C578" s="606"/>
      <c r="D578" s="607"/>
      <c r="E578" s="608"/>
      <c r="F578" s="609"/>
      <c r="G578" s="647"/>
      <c r="H578" s="642"/>
      <c r="I578" s="131"/>
      <c r="J578" s="131"/>
      <c r="K578" s="1037"/>
      <c r="L578" s="1343" t="s">
        <v>950</v>
      </c>
      <c r="M578" s="1344"/>
      <c r="N578" s="1344"/>
      <c r="O578" s="1342">
        <v>1094000</v>
      </c>
      <c r="P578" s="1342"/>
      <c r="Q578" s="1342"/>
      <c r="R578" s="1069" t="s">
        <v>838</v>
      </c>
      <c r="S578" s="1097">
        <v>1</v>
      </c>
      <c r="T578" s="1071" t="s">
        <v>689</v>
      </c>
      <c r="U578" s="1080">
        <f t="shared" si="38"/>
        <v>1094000</v>
      </c>
    </row>
    <row r="579" spans="1:22" ht="21.75" hidden="1" customHeight="1">
      <c r="A579" s="605"/>
      <c r="B579" s="606"/>
      <c r="C579" s="606"/>
      <c r="D579" s="607"/>
      <c r="E579" s="608"/>
      <c r="F579" s="609"/>
      <c r="G579" s="647"/>
      <c r="H579" s="642"/>
      <c r="I579" s="131"/>
      <c r="J579" s="131"/>
      <c r="K579" s="1037"/>
      <c r="L579" s="1343" t="s">
        <v>951</v>
      </c>
      <c r="M579" s="1344"/>
      <c r="N579" s="1344"/>
      <c r="O579" s="1342">
        <f t="shared" ref="O579" si="39">ROUNDUP(U579/S579,-1)</f>
        <v>2896730</v>
      </c>
      <c r="P579" s="1342"/>
      <c r="Q579" s="1342"/>
      <c r="R579" s="1069" t="s">
        <v>838</v>
      </c>
      <c r="S579" s="1097">
        <v>3</v>
      </c>
      <c r="T579" s="1071" t="s">
        <v>689</v>
      </c>
      <c r="U579" s="1080">
        <v>8690172</v>
      </c>
    </row>
    <row r="580" spans="1:22" ht="21.75" customHeight="1">
      <c r="A580" s="605"/>
      <c r="B580" s="606"/>
      <c r="C580" s="1012" t="s">
        <v>130</v>
      </c>
      <c r="D580" s="1013">
        <v>92000000</v>
      </c>
      <c r="E580" s="1014">
        <f>SUM(H580:K580)</f>
        <v>122100000</v>
      </c>
      <c r="F580" s="1014">
        <f t="shared" si="34"/>
        <v>30100000</v>
      </c>
      <c r="G580" s="1015">
        <f t="shared" si="35"/>
        <v>32.717391304347828</v>
      </c>
      <c r="H580" s="1016">
        <f>국도비세출!F40</f>
        <v>16100000</v>
      </c>
      <c r="I580" s="1017">
        <f>자부담세출!T49</f>
        <v>0</v>
      </c>
      <c r="J580" s="1017">
        <f>자부담세출!U49</f>
        <v>5000000</v>
      </c>
      <c r="K580" s="1036">
        <f>후원금세출!F51</f>
        <v>101000000</v>
      </c>
      <c r="L580" s="1339" t="s">
        <v>966</v>
      </c>
      <c r="M580" s="1340"/>
      <c r="N580" s="1340"/>
      <c r="O580" s="1341"/>
      <c r="P580" s="1341"/>
      <c r="Q580" s="1341"/>
      <c r="R580" s="1084"/>
      <c r="S580" s="1140"/>
      <c r="T580" s="1087"/>
      <c r="U580" s="1141">
        <f>SUM(U581:U596)</f>
        <v>122100000</v>
      </c>
      <c r="V580" s="582" t="e">
        <f>E580-U580-#REF!-#REF!-#REF!-#REF!-#REF!-#REF!-#REF!</f>
        <v>#REF!</v>
      </c>
    </row>
    <row r="581" spans="1:22" ht="21.75" hidden="1" customHeight="1">
      <c r="A581" s="605"/>
      <c r="B581" s="606"/>
      <c r="C581" s="606"/>
      <c r="D581" s="607"/>
      <c r="E581" s="608"/>
      <c r="F581" s="609"/>
      <c r="G581" s="1028"/>
      <c r="H581" s="642"/>
      <c r="I581" s="131"/>
      <c r="J581" s="131"/>
      <c r="K581" s="1037"/>
      <c r="L581" s="1343" t="s">
        <v>976</v>
      </c>
      <c r="M581" s="1344"/>
      <c r="N581" s="1344"/>
      <c r="O581" s="1342">
        <v>495000</v>
      </c>
      <c r="P581" s="1342"/>
      <c r="Q581" s="1342"/>
      <c r="R581" s="1069" t="s">
        <v>838</v>
      </c>
      <c r="S581" s="1097">
        <v>12</v>
      </c>
      <c r="T581" s="1071" t="s">
        <v>689</v>
      </c>
      <c r="U581" s="1080">
        <f t="shared" ref="U581:U594" si="40">O581*S581</f>
        <v>5940000</v>
      </c>
    </row>
    <row r="582" spans="1:22" ht="21.75" hidden="1" customHeight="1">
      <c r="A582" s="605"/>
      <c r="B582" s="606"/>
      <c r="C582" s="606"/>
      <c r="D582" s="607"/>
      <c r="E582" s="608"/>
      <c r="F582" s="609"/>
      <c r="G582" s="1028"/>
      <c r="H582" s="642"/>
      <c r="I582" s="131"/>
      <c r="J582" s="131"/>
      <c r="K582" s="1037"/>
      <c r="L582" s="1343" t="s">
        <v>977</v>
      </c>
      <c r="M582" s="1344"/>
      <c r="N582" s="1344"/>
      <c r="O582" s="1342">
        <v>385000</v>
      </c>
      <c r="P582" s="1342"/>
      <c r="Q582" s="1342"/>
      <c r="R582" s="1069" t="s">
        <v>838</v>
      </c>
      <c r="S582" s="1097">
        <v>12</v>
      </c>
      <c r="T582" s="1071" t="s">
        <v>689</v>
      </c>
      <c r="U582" s="1080">
        <f t="shared" si="40"/>
        <v>4620000</v>
      </c>
    </row>
    <row r="583" spans="1:22" ht="21.75" hidden="1" customHeight="1">
      <c r="A583" s="605"/>
      <c r="B583" s="606"/>
      <c r="C583" s="606"/>
      <c r="D583" s="607"/>
      <c r="E583" s="608"/>
      <c r="F583" s="609"/>
      <c r="G583" s="1028"/>
      <c r="H583" s="642"/>
      <c r="I583" s="131"/>
      <c r="J583" s="131"/>
      <c r="K583" s="1037"/>
      <c r="L583" s="1343" t="s">
        <v>978</v>
      </c>
      <c r="M583" s="1344"/>
      <c r="N583" s="1344"/>
      <c r="O583" s="1342">
        <f>227480+256520</f>
        <v>484000</v>
      </c>
      <c r="P583" s="1342"/>
      <c r="Q583" s="1342"/>
      <c r="R583" s="1069" t="s">
        <v>838</v>
      </c>
      <c r="S583" s="1097">
        <v>12</v>
      </c>
      <c r="T583" s="1071" t="s">
        <v>689</v>
      </c>
      <c r="U583" s="1080">
        <f t="shared" si="40"/>
        <v>5808000</v>
      </c>
    </row>
    <row r="584" spans="1:22" ht="21.75" hidden="1" customHeight="1">
      <c r="A584" s="605"/>
      <c r="B584" s="606"/>
      <c r="C584" s="606"/>
      <c r="D584" s="607"/>
      <c r="E584" s="608"/>
      <c r="F584" s="609"/>
      <c r="G584" s="1028"/>
      <c r="H584" s="642"/>
      <c r="I584" s="131"/>
      <c r="J584" s="131"/>
      <c r="K584" s="1037"/>
      <c r="L584" s="1343" t="s">
        <v>979</v>
      </c>
      <c r="M584" s="1344"/>
      <c r="N584" s="1344"/>
      <c r="O584" s="1342">
        <v>381500</v>
      </c>
      <c r="P584" s="1342"/>
      <c r="Q584" s="1342"/>
      <c r="R584" s="1069" t="s">
        <v>838</v>
      </c>
      <c r="S584" s="1097">
        <v>5</v>
      </c>
      <c r="T584" s="1071" t="s">
        <v>689</v>
      </c>
      <c r="U584" s="1080">
        <f t="shared" si="40"/>
        <v>1907500</v>
      </c>
    </row>
    <row r="585" spans="1:22" ht="21.75" hidden="1" customHeight="1">
      <c r="A585" s="605"/>
      <c r="B585" s="606"/>
      <c r="C585" s="606"/>
      <c r="D585" s="607"/>
      <c r="E585" s="608"/>
      <c r="F585" s="609"/>
      <c r="G585" s="1028"/>
      <c r="H585" s="642"/>
      <c r="I585" s="131"/>
      <c r="J585" s="131"/>
      <c r="K585" s="1037"/>
      <c r="L585" s="1343" t="s">
        <v>980</v>
      </c>
      <c r="M585" s="1344"/>
      <c r="N585" s="1344"/>
      <c r="O585" s="1342">
        <v>5000000</v>
      </c>
      <c r="P585" s="1342"/>
      <c r="Q585" s="1342"/>
      <c r="R585" s="1069" t="s">
        <v>838</v>
      </c>
      <c r="S585" s="1097">
        <v>1</v>
      </c>
      <c r="T585" s="1071" t="s">
        <v>689</v>
      </c>
      <c r="U585" s="1080">
        <f t="shared" si="40"/>
        <v>5000000</v>
      </c>
    </row>
    <row r="586" spans="1:22" ht="21.75" hidden="1" customHeight="1">
      <c r="A586" s="605"/>
      <c r="B586" s="606"/>
      <c r="C586" s="606"/>
      <c r="D586" s="607"/>
      <c r="E586" s="608"/>
      <c r="F586" s="609"/>
      <c r="G586" s="1028"/>
      <c r="H586" s="642"/>
      <c r="I586" s="131"/>
      <c r="J586" s="131"/>
      <c r="K586" s="1037"/>
      <c r="L586" s="1343" t="s">
        <v>981</v>
      </c>
      <c r="M586" s="1344"/>
      <c r="N586" s="1344"/>
      <c r="O586" s="1342">
        <v>5000000</v>
      </c>
      <c r="P586" s="1342"/>
      <c r="Q586" s="1342"/>
      <c r="R586" s="1069" t="s">
        <v>838</v>
      </c>
      <c r="S586" s="1097">
        <v>12</v>
      </c>
      <c r="T586" s="1071" t="s">
        <v>689</v>
      </c>
      <c r="U586" s="1080">
        <f t="shared" si="40"/>
        <v>60000000</v>
      </c>
    </row>
    <row r="587" spans="1:22" ht="21.75" hidden="1" customHeight="1">
      <c r="A587" s="605"/>
      <c r="B587" s="606"/>
      <c r="C587" s="606"/>
      <c r="D587" s="607"/>
      <c r="E587" s="608"/>
      <c r="F587" s="609"/>
      <c r="G587" s="1028"/>
      <c r="H587" s="642"/>
      <c r="I587" s="131"/>
      <c r="J587" s="131"/>
      <c r="K587" s="1037"/>
      <c r="L587" s="1343" t="s">
        <v>982</v>
      </c>
      <c r="M587" s="1344"/>
      <c r="N587" s="1344"/>
      <c r="O587" s="1342">
        <v>3000000</v>
      </c>
      <c r="P587" s="1342"/>
      <c r="Q587" s="1342"/>
      <c r="R587" s="1069" t="s">
        <v>838</v>
      </c>
      <c r="S587" s="1097">
        <v>1</v>
      </c>
      <c r="T587" s="1071" t="s">
        <v>689</v>
      </c>
      <c r="U587" s="1080">
        <f t="shared" si="40"/>
        <v>3000000</v>
      </c>
    </row>
    <row r="588" spans="1:22" ht="21.75" hidden="1" customHeight="1">
      <c r="A588" s="605"/>
      <c r="B588" s="606"/>
      <c r="C588" s="606"/>
      <c r="D588" s="607"/>
      <c r="E588" s="608"/>
      <c r="F588" s="609"/>
      <c r="G588" s="1028"/>
      <c r="H588" s="642"/>
      <c r="I588" s="131"/>
      <c r="J588" s="131"/>
      <c r="K588" s="1037"/>
      <c r="L588" s="1343" t="s">
        <v>983</v>
      </c>
      <c r="M588" s="1344"/>
      <c r="N588" s="1344"/>
      <c r="O588" s="1342">
        <v>6000000</v>
      </c>
      <c r="P588" s="1342"/>
      <c r="Q588" s="1342"/>
      <c r="R588" s="1069" t="s">
        <v>838</v>
      </c>
      <c r="S588" s="1097">
        <v>1</v>
      </c>
      <c r="T588" s="1071" t="s">
        <v>689</v>
      </c>
      <c r="U588" s="1080">
        <f t="shared" si="40"/>
        <v>6000000</v>
      </c>
    </row>
    <row r="589" spans="1:22" ht="21.75" hidden="1" customHeight="1">
      <c r="A589" s="605"/>
      <c r="B589" s="606"/>
      <c r="C589" s="606"/>
      <c r="D589" s="607"/>
      <c r="E589" s="608"/>
      <c r="F589" s="609"/>
      <c r="G589" s="1028"/>
      <c r="H589" s="642"/>
      <c r="I589" s="131"/>
      <c r="J589" s="131"/>
      <c r="K589" s="1037"/>
      <c r="L589" s="1343" t="s">
        <v>984</v>
      </c>
      <c r="M589" s="1344"/>
      <c r="N589" s="1344"/>
      <c r="O589" s="1342">
        <v>4000000</v>
      </c>
      <c r="P589" s="1342"/>
      <c r="Q589" s="1342"/>
      <c r="R589" s="1069" t="s">
        <v>838</v>
      </c>
      <c r="S589" s="1097">
        <v>1</v>
      </c>
      <c r="T589" s="1071" t="s">
        <v>689</v>
      </c>
      <c r="U589" s="1080">
        <f t="shared" si="40"/>
        <v>4000000</v>
      </c>
    </row>
    <row r="590" spans="1:22" ht="21.75" hidden="1" customHeight="1">
      <c r="A590" s="605"/>
      <c r="B590" s="606"/>
      <c r="C590" s="606"/>
      <c r="D590" s="607"/>
      <c r="E590" s="608"/>
      <c r="F590" s="609"/>
      <c r="G590" s="1028"/>
      <c r="H590" s="642"/>
      <c r="I590" s="131"/>
      <c r="J590" s="131"/>
      <c r="K590" s="1037"/>
      <c r="L590" s="1343" t="s">
        <v>985</v>
      </c>
      <c r="M590" s="1344"/>
      <c r="N590" s="1344"/>
      <c r="O590" s="1342">
        <v>500000</v>
      </c>
      <c r="P590" s="1342"/>
      <c r="Q590" s="1342"/>
      <c r="R590" s="1069" t="s">
        <v>838</v>
      </c>
      <c r="S590" s="1097">
        <v>1</v>
      </c>
      <c r="T590" s="1071" t="s">
        <v>689</v>
      </c>
      <c r="U590" s="1080">
        <f t="shared" si="40"/>
        <v>500000</v>
      </c>
    </row>
    <row r="591" spans="1:22" ht="21.75" hidden="1" customHeight="1">
      <c r="A591" s="605"/>
      <c r="B591" s="606"/>
      <c r="C591" s="606"/>
      <c r="D591" s="607"/>
      <c r="E591" s="608"/>
      <c r="F591" s="609"/>
      <c r="G591" s="1028"/>
      <c r="H591" s="642"/>
      <c r="I591" s="131"/>
      <c r="J591" s="131"/>
      <c r="K591" s="1037"/>
      <c r="L591" s="1343" t="s">
        <v>986</v>
      </c>
      <c r="M591" s="1344"/>
      <c r="N591" s="1344"/>
      <c r="O591" s="1342">
        <v>3000000</v>
      </c>
      <c r="P591" s="1342"/>
      <c r="Q591" s="1342"/>
      <c r="R591" s="1069" t="s">
        <v>838</v>
      </c>
      <c r="S591" s="1097">
        <v>1</v>
      </c>
      <c r="T591" s="1071" t="s">
        <v>689</v>
      </c>
      <c r="U591" s="1080">
        <f t="shared" si="40"/>
        <v>3000000</v>
      </c>
    </row>
    <row r="592" spans="1:22" ht="21.75" hidden="1" customHeight="1">
      <c r="A592" s="605"/>
      <c r="B592" s="606"/>
      <c r="C592" s="606"/>
      <c r="D592" s="607"/>
      <c r="E592" s="608"/>
      <c r="F592" s="609"/>
      <c r="G592" s="1028"/>
      <c r="H592" s="642"/>
      <c r="I592" s="131"/>
      <c r="J592" s="131"/>
      <c r="K592" s="1037"/>
      <c r="L592" s="1343" t="s">
        <v>987</v>
      </c>
      <c r="M592" s="1344"/>
      <c r="N592" s="1344"/>
      <c r="O592" s="1342">
        <v>2000000</v>
      </c>
      <c r="P592" s="1342"/>
      <c r="Q592" s="1342"/>
      <c r="R592" s="1069" t="s">
        <v>838</v>
      </c>
      <c r="S592" s="1097">
        <v>1</v>
      </c>
      <c r="T592" s="1071" t="s">
        <v>689</v>
      </c>
      <c r="U592" s="1080">
        <f t="shared" si="40"/>
        <v>2000000</v>
      </c>
    </row>
    <row r="593" spans="1:21" ht="21.75" hidden="1" customHeight="1">
      <c r="A593" s="605"/>
      <c r="B593" s="606"/>
      <c r="C593" s="606"/>
      <c r="D593" s="607"/>
      <c r="E593" s="608"/>
      <c r="F593" s="609"/>
      <c r="G593" s="1028"/>
      <c r="H593" s="642"/>
      <c r="I593" s="131"/>
      <c r="J593" s="131"/>
      <c r="K593" s="1037"/>
      <c r="L593" s="1343" t="s">
        <v>988</v>
      </c>
      <c r="M593" s="1344"/>
      <c r="N593" s="1344"/>
      <c r="O593" s="1342">
        <v>1000000</v>
      </c>
      <c r="P593" s="1342"/>
      <c r="Q593" s="1342"/>
      <c r="R593" s="1069" t="s">
        <v>838</v>
      </c>
      <c r="S593" s="1097">
        <v>1</v>
      </c>
      <c r="T593" s="1071" t="s">
        <v>689</v>
      </c>
      <c r="U593" s="1080">
        <f t="shared" si="40"/>
        <v>1000000</v>
      </c>
    </row>
    <row r="594" spans="1:21" ht="21.75" hidden="1" customHeight="1">
      <c r="A594" s="605"/>
      <c r="B594" s="606"/>
      <c r="C594" s="606"/>
      <c r="D594" s="607"/>
      <c r="E594" s="608"/>
      <c r="F594" s="609"/>
      <c r="G594" s="1028"/>
      <c r="H594" s="642"/>
      <c r="I594" s="131"/>
      <c r="J594" s="131"/>
      <c r="K594" s="1037"/>
      <c r="L594" s="1343" t="s">
        <v>989</v>
      </c>
      <c r="M594" s="1344"/>
      <c r="N594" s="1344"/>
      <c r="O594" s="1342">
        <v>15000000</v>
      </c>
      <c r="P594" s="1342"/>
      <c r="Q594" s="1342"/>
      <c r="R594" s="1069" t="s">
        <v>838</v>
      </c>
      <c r="S594" s="1097">
        <v>1</v>
      </c>
      <c r="T594" s="1071" t="s">
        <v>689</v>
      </c>
      <c r="U594" s="1080">
        <f t="shared" si="40"/>
        <v>15000000</v>
      </c>
    </row>
    <row r="595" spans="1:21" ht="21.75" hidden="1" customHeight="1">
      <c r="A595" s="605"/>
      <c r="B595" s="606"/>
      <c r="C595" s="606"/>
      <c r="D595" s="607"/>
      <c r="E595" s="608"/>
      <c r="F595" s="609"/>
      <c r="G595" s="1028"/>
      <c r="H595" s="642"/>
      <c r="I595" s="131"/>
      <c r="J595" s="131"/>
      <c r="K595" s="1037"/>
      <c r="L595" s="1343" t="s">
        <v>990</v>
      </c>
      <c r="M595" s="1344"/>
      <c r="N595" s="1344"/>
      <c r="O595" s="1342">
        <f t="shared" ref="O595" si="41">ROUNDUP(U595/S595,-1)</f>
        <v>1024500</v>
      </c>
      <c r="P595" s="1342"/>
      <c r="Q595" s="1342"/>
      <c r="R595" s="1069" t="s">
        <v>838</v>
      </c>
      <c r="S595" s="1097">
        <v>1</v>
      </c>
      <c r="T595" s="1071" t="s">
        <v>689</v>
      </c>
      <c r="U595" s="1081">
        <v>1024500</v>
      </c>
    </row>
    <row r="596" spans="1:21" ht="21.75" hidden="1" customHeight="1">
      <c r="A596" s="605"/>
      <c r="B596" s="606"/>
      <c r="C596" s="606"/>
      <c r="D596" s="607"/>
      <c r="E596" s="608"/>
      <c r="F596" s="609"/>
      <c r="G596" s="1028"/>
      <c r="H596" s="642"/>
      <c r="I596" s="131"/>
      <c r="J596" s="131"/>
      <c r="K596" s="1037"/>
      <c r="L596" s="1343" t="s">
        <v>952</v>
      </c>
      <c r="M596" s="1344"/>
      <c r="N596" s="1344"/>
      <c r="O596" s="1342">
        <v>275000</v>
      </c>
      <c r="P596" s="1342"/>
      <c r="Q596" s="1342"/>
      <c r="R596" s="1069" t="s">
        <v>838</v>
      </c>
      <c r="S596" s="1097">
        <v>12</v>
      </c>
      <c r="T596" s="1071" t="s">
        <v>689</v>
      </c>
      <c r="U596" s="1080">
        <f t="shared" ref="U596" si="42">O596*S596</f>
        <v>3300000</v>
      </c>
    </row>
    <row r="597" spans="1:21" ht="21.75" customHeight="1">
      <c r="A597" s="621" t="s">
        <v>131</v>
      </c>
      <c r="B597" s="628" t="s">
        <v>92</v>
      </c>
      <c r="C597" s="628"/>
      <c r="D597" s="623">
        <f>SUM(D598,D615,D653)</f>
        <v>401372640</v>
      </c>
      <c r="E597" s="623">
        <f>SUM(E598,E615,E653)</f>
        <v>408115000</v>
      </c>
      <c r="F597" s="624">
        <f>E597-D597</f>
        <v>6742360</v>
      </c>
      <c r="G597" s="1158">
        <f>F597/D597*100</f>
        <v>1.6798255107772169</v>
      </c>
      <c r="H597" s="644">
        <f>SUM(H598,H615,H653)</f>
        <v>214015000</v>
      </c>
      <c r="I597" s="130">
        <f>SUM(I598,I615,I653)</f>
        <v>2000000</v>
      </c>
      <c r="J597" s="130">
        <f>SUM(J598,J615,J653)</f>
        <v>146000000</v>
      </c>
      <c r="K597" s="1039">
        <f>SUM(K598,K615,K653)</f>
        <v>46100000</v>
      </c>
      <c r="L597" s="1137" t="s">
        <v>1006</v>
      </c>
      <c r="M597" s="1062"/>
      <c r="N597" s="1062"/>
      <c r="O597" s="629"/>
      <c r="P597" s="629"/>
      <c r="Q597" s="629"/>
      <c r="R597" s="629"/>
      <c r="S597" s="629"/>
      <c r="T597" s="629"/>
      <c r="U597" s="1127">
        <f>U598+U615+U653</f>
        <v>408115000</v>
      </c>
    </row>
    <row r="598" spans="1:21" ht="21.75" customHeight="1">
      <c r="A598" s="605"/>
      <c r="B598" s="614" t="s">
        <v>120</v>
      </c>
      <c r="C598" s="614" t="s">
        <v>94</v>
      </c>
      <c r="D598" s="626">
        <f>SUM(D599:D614)</f>
        <v>254332640</v>
      </c>
      <c r="E598" s="626">
        <f>SUM(E599:E614)</f>
        <v>274239200</v>
      </c>
      <c r="F598" s="615">
        <f>E598-D598</f>
        <v>19906560</v>
      </c>
      <c r="G598" s="1159">
        <f>F598/D598*100</f>
        <v>7.8269780866506169</v>
      </c>
      <c r="H598" s="643">
        <f>SUM(H599:H614)</f>
        <v>162239200</v>
      </c>
      <c r="I598" s="616">
        <f>SUM(I599:I614)</f>
        <v>0</v>
      </c>
      <c r="J598" s="616">
        <f>SUM(J599:J614)</f>
        <v>102000000</v>
      </c>
      <c r="K598" s="1038">
        <f>SUM(K599:K614)</f>
        <v>10000000</v>
      </c>
      <c r="L598" s="1138" t="s">
        <v>973</v>
      </c>
      <c r="M598" s="1006"/>
      <c r="N598" s="1006"/>
      <c r="O598" s="627"/>
      <c r="P598" s="627"/>
      <c r="Q598" s="627"/>
      <c r="R598" s="627"/>
      <c r="S598" s="627"/>
      <c r="T598" s="627"/>
      <c r="U598" s="1126">
        <f>U599+U605+U610+U612</f>
        <v>274239200</v>
      </c>
    </row>
    <row r="599" spans="1:21" ht="21.75" customHeight="1">
      <c r="A599" s="605"/>
      <c r="B599" s="606"/>
      <c r="C599" s="1012" t="s">
        <v>132</v>
      </c>
      <c r="D599" s="1013">
        <v>209362640</v>
      </c>
      <c r="E599" s="1014">
        <f>SUM(H599:K599)</f>
        <v>230739200</v>
      </c>
      <c r="F599" s="1014">
        <f t="shared" ref="F599:F612" si="43">E599-D599</f>
        <v>21376560</v>
      </c>
      <c r="G599" s="1015">
        <f t="shared" ref="G599:G612" si="44">F599/D599*100</f>
        <v>10.210303041650603</v>
      </c>
      <c r="H599" s="1016">
        <f>국도비세출!F43</f>
        <v>140739200</v>
      </c>
      <c r="I599" s="1017">
        <f>자부담세출!T52</f>
        <v>0</v>
      </c>
      <c r="J599" s="1017">
        <f>자부담세출!F52</f>
        <v>85000000</v>
      </c>
      <c r="K599" s="1036">
        <f>후원금세출!F54</f>
        <v>5000000</v>
      </c>
      <c r="L599" s="1163" t="s">
        <v>1002</v>
      </c>
      <c r="M599" s="1116"/>
      <c r="N599" s="1116"/>
      <c r="O599" s="1142"/>
      <c r="P599" s="1143"/>
      <c r="Q599" s="1142"/>
      <c r="R599" s="1144"/>
      <c r="S599" s="1142"/>
      <c r="T599" s="1145"/>
      <c r="U599" s="1164">
        <f>SUM(U600:U604)</f>
        <v>230739200</v>
      </c>
    </row>
    <row r="600" spans="1:21" ht="21.75" customHeight="1">
      <c r="A600" s="605"/>
      <c r="B600" s="606"/>
      <c r="C600" s="606"/>
      <c r="D600" s="607"/>
      <c r="E600" s="608"/>
      <c r="F600" s="609"/>
      <c r="G600" s="647"/>
      <c r="H600" s="642"/>
      <c r="I600" s="131"/>
      <c r="J600" s="131"/>
      <c r="K600" s="1037"/>
      <c r="L600" s="1343" t="s">
        <v>991</v>
      </c>
      <c r="M600" s="1344"/>
      <c r="N600" s="1344"/>
      <c r="O600" s="1342">
        <v>17500000</v>
      </c>
      <c r="P600" s="1342"/>
      <c r="Q600" s="1342"/>
      <c r="R600" s="1069" t="s">
        <v>838</v>
      </c>
      <c r="S600" s="1097">
        <v>12</v>
      </c>
      <c r="T600" s="1071" t="s">
        <v>689</v>
      </c>
      <c r="U600" s="1080">
        <f t="shared" ref="U600:U604" si="45">O600*S600</f>
        <v>210000000</v>
      </c>
    </row>
    <row r="601" spans="1:21" ht="21.75" customHeight="1">
      <c r="A601" s="605"/>
      <c r="B601" s="606"/>
      <c r="C601" s="606"/>
      <c r="D601" s="607"/>
      <c r="E601" s="608"/>
      <c r="F601" s="609"/>
      <c r="G601" s="647"/>
      <c r="H601" s="642"/>
      <c r="I601" s="131"/>
      <c r="J601" s="131"/>
      <c r="K601" s="1037"/>
      <c r="L601" s="1343" t="s">
        <v>992</v>
      </c>
      <c r="M601" s="1344"/>
      <c r="N601" s="1344"/>
      <c r="O601" s="1342">
        <v>1300000</v>
      </c>
      <c r="P601" s="1342"/>
      <c r="Q601" s="1342"/>
      <c r="R601" s="1069" t="s">
        <v>838</v>
      </c>
      <c r="S601" s="1097">
        <v>12</v>
      </c>
      <c r="T601" s="1071" t="s">
        <v>689</v>
      </c>
      <c r="U601" s="1080">
        <f>O601*S601</f>
        <v>15600000</v>
      </c>
    </row>
    <row r="602" spans="1:21" ht="21.75" customHeight="1">
      <c r="A602" s="605"/>
      <c r="B602" s="606"/>
      <c r="C602" s="606"/>
      <c r="D602" s="607"/>
      <c r="E602" s="608"/>
      <c r="F602" s="609"/>
      <c r="G602" s="647"/>
      <c r="H602" s="642"/>
      <c r="I602" s="131"/>
      <c r="J602" s="131"/>
      <c r="K602" s="1037"/>
      <c r="L602" s="1343" t="s">
        <v>993</v>
      </c>
      <c r="M602" s="1344"/>
      <c r="N602" s="1344"/>
      <c r="O602" s="1342">
        <f t="shared" ref="O602" si="46">ROUNDUP(U602/S602,-1)</f>
        <v>32660</v>
      </c>
      <c r="P602" s="1342"/>
      <c r="Q602" s="1342"/>
      <c r="R602" s="1069" t="s">
        <v>838</v>
      </c>
      <c r="S602" s="1097">
        <v>50</v>
      </c>
      <c r="T602" s="1071" t="s">
        <v>689</v>
      </c>
      <c r="U602" s="1080">
        <v>1633000</v>
      </c>
    </row>
    <row r="603" spans="1:21" ht="21.75" customHeight="1">
      <c r="A603" s="605"/>
      <c r="B603" s="606"/>
      <c r="C603" s="606"/>
      <c r="D603" s="607"/>
      <c r="E603" s="608"/>
      <c r="F603" s="609"/>
      <c r="G603" s="647"/>
      <c r="H603" s="642"/>
      <c r="I603" s="131"/>
      <c r="J603" s="131"/>
      <c r="K603" s="1037"/>
      <c r="L603" s="1343" t="s">
        <v>994</v>
      </c>
      <c r="M603" s="1344"/>
      <c r="N603" s="1344"/>
      <c r="O603" s="1342">
        <v>37300</v>
      </c>
      <c r="P603" s="1342"/>
      <c r="Q603" s="1342"/>
      <c r="R603" s="1069" t="s">
        <v>838</v>
      </c>
      <c r="S603" s="1097">
        <v>46</v>
      </c>
      <c r="T603" s="1071" t="s">
        <v>689</v>
      </c>
      <c r="U603" s="1080">
        <f t="shared" si="45"/>
        <v>1715800</v>
      </c>
    </row>
    <row r="604" spans="1:21" ht="21.75" customHeight="1">
      <c r="A604" s="605"/>
      <c r="B604" s="606"/>
      <c r="C604" s="606"/>
      <c r="D604" s="607"/>
      <c r="E604" s="608"/>
      <c r="F604" s="609"/>
      <c r="G604" s="647"/>
      <c r="H604" s="642"/>
      <c r="I604" s="131"/>
      <c r="J604" s="131"/>
      <c r="K604" s="1037"/>
      <c r="L604" s="1343" t="s">
        <v>995</v>
      </c>
      <c r="M604" s="1344"/>
      <c r="N604" s="1344"/>
      <c r="O604" s="1342">
        <v>37300</v>
      </c>
      <c r="P604" s="1342"/>
      <c r="Q604" s="1342"/>
      <c r="R604" s="1069" t="s">
        <v>838</v>
      </c>
      <c r="S604" s="1097">
        <v>48</v>
      </c>
      <c r="T604" s="1071" t="s">
        <v>689</v>
      </c>
      <c r="U604" s="1080">
        <f t="shared" si="45"/>
        <v>1790400</v>
      </c>
    </row>
    <row r="605" spans="1:21" ht="21.75" customHeight="1">
      <c r="A605" s="605"/>
      <c r="B605" s="606"/>
      <c r="C605" s="1012" t="s">
        <v>133</v>
      </c>
      <c r="D605" s="1013">
        <v>37970000</v>
      </c>
      <c r="E605" s="1014">
        <f>SUM(H605:K605)</f>
        <v>36500000</v>
      </c>
      <c r="F605" s="1014">
        <f>E605-D605</f>
        <v>-1470000</v>
      </c>
      <c r="G605" s="1015">
        <f>F605/D605*100</f>
        <v>-3.871477482222808</v>
      </c>
      <c r="H605" s="1016">
        <f>국도비세출!F47</f>
        <v>21500000</v>
      </c>
      <c r="I605" s="1017"/>
      <c r="J605" s="1017">
        <f>자부담세출!F54</f>
        <v>11000000</v>
      </c>
      <c r="K605" s="1036">
        <f>후원금세출!F55</f>
        <v>4000000</v>
      </c>
      <c r="L605" s="1169" t="s">
        <v>1003</v>
      </c>
      <c r="M605" s="1165"/>
      <c r="N605" s="1165"/>
      <c r="O605" s="1142"/>
      <c r="P605" s="1143"/>
      <c r="Q605" s="1142"/>
      <c r="R605" s="1144"/>
      <c r="S605" s="1142"/>
      <c r="T605" s="1145"/>
      <c r="U605" s="1164">
        <f>SUM(U606:U609)</f>
        <v>36500000</v>
      </c>
    </row>
    <row r="606" spans="1:21" ht="21.75" hidden="1" customHeight="1">
      <c r="A606" s="605"/>
      <c r="B606" s="606"/>
      <c r="C606" s="606"/>
      <c r="D606" s="607"/>
      <c r="E606" s="608"/>
      <c r="F606" s="609"/>
      <c r="G606" s="647"/>
      <c r="H606" s="642"/>
      <c r="I606" s="131"/>
      <c r="J606" s="131"/>
      <c r="K606" s="1037"/>
      <c r="L606" s="1343" t="s">
        <v>996</v>
      </c>
      <c r="M606" s="1344"/>
      <c r="N606" s="1344"/>
      <c r="O606" s="1342">
        <v>2000000</v>
      </c>
      <c r="P606" s="1342"/>
      <c r="Q606" s="1342"/>
      <c r="R606" s="1069" t="s">
        <v>838</v>
      </c>
      <c r="S606" s="1097">
        <v>12</v>
      </c>
      <c r="T606" s="1071" t="s">
        <v>689</v>
      </c>
      <c r="U606" s="1080">
        <f t="shared" ref="U606:U608" si="47">O606*S606</f>
        <v>24000000</v>
      </c>
    </row>
    <row r="607" spans="1:21" ht="21.75" hidden="1" customHeight="1">
      <c r="A607" s="605"/>
      <c r="B607" s="606"/>
      <c r="C607" s="606"/>
      <c r="D607" s="607"/>
      <c r="E607" s="608"/>
      <c r="F607" s="609"/>
      <c r="G607" s="647"/>
      <c r="H607" s="642"/>
      <c r="I607" s="131"/>
      <c r="J607" s="131"/>
      <c r="K607" s="1037"/>
      <c r="L607" s="1343" t="s">
        <v>997</v>
      </c>
      <c r="M607" s="1344"/>
      <c r="N607" s="1344"/>
      <c r="O607" s="1342">
        <v>500000</v>
      </c>
      <c r="P607" s="1342"/>
      <c r="Q607" s="1342"/>
      <c r="R607" s="1069" t="s">
        <v>838</v>
      </c>
      <c r="S607" s="1097">
        <v>12</v>
      </c>
      <c r="T607" s="1071" t="s">
        <v>689</v>
      </c>
      <c r="U607" s="1080">
        <f t="shared" si="47"/>
        <v>6000000</v>
      </c>
    </row>
    <row r="608" spans="1:21" ht="21.75" hidden="1" customHeight="1">
      <c r="A608" s="605"/>
      <c r="B608" s="606"/>
      <c r="C608" s="606"/>
      <c r="D608" s="607"/>
      <c r="E608" s="608"/>
      <c r="F608" s="609"/>
      <c r="G608" s="647"/>
      <c r="H608" s="642"/>
      <c r="I608" s="131"/>
      <c r="J608" s="131"/>
      <c r="K608" s="1037"/>
      <c r="L608" s="1343" t="s">
        <v>998</v>
      </c>
      <c r="M608" s="1344"/>
      <c r="N608" s="1344"/>
      <c r="O608" s="1342">
        <v>500000</v>
      </c>
      <c r="P608" s="1342"/>
      <c r="Q608" s="1342"/>
      <c r="R608" s="1069" t="s">
        <v>838</v>
      </c>
      <c r="S608" s="1097">
        <v>2</v>
      </c>
      <c r="T608" s="1071" t="s">
        <v>689</v>
      </c>
      <c r="U608" s="1080">
        <f t="shared" si="47"/>
        <v>1000000</v>
      </c>
    </row>
    <row r="609" spans="1:32" ht="21.75" hidden="1" customHeight="1">
      <c r="A609" s="605"/>
      <c r="B609" s="606"/>
      <c r="C609" s="606"/>
      <c r="D609" s="607"/>
      <c r="E609" s="608"/>
      <c r="F609" s="609"/>
      <c r="G609" s="647"/>
      <c r="H609" s="642"/>
      <c r="I609" s="131"/>
      <c r="J609" s="131"/>
      <c r="K609" s="1037"/>
      <c r="L609" s="1343" t="s">
        <v>999</v>
      </c>
      <c r="M609" s="1344"/>
      <c r="N609" s="1344"/>
      <c r="O609" s="1342">
        <f t="shared" ref="O609" si="48">ROUNDUP(U609/S609,-1)</f>
        <v>458340</v>
      </c>
      <c r="P609" s="1342"/>
      <c r="Q609" s="1342"/>
      <c r="R609" s="1069" t="s">
        <v>838</v>
      </c>
      <c r="S609" s="1097">
        <v>12</v>
      </c>
      <c r="T609" s="1071" t="s">
        <v>689</v>
      </c>
      <c r="U609" s="1080">
        <v>5500000</v>
      </c>
    </row>
    <row r="610" spans="1:32" ht="21.75" customHeight="1">
      <c r="A610" s="605"/>
      <c r="B610" s="606"/>
      <c r="C610" s="1012" t="s">
        <v>134</v>
      </c>
      <c r="D610" s="1013">
        <v>4000000</v>
      </c>
      <c r="E610" s="1014">
        <f>SUM(H610:K610)</f>
        <v>4000000</v>
      </c>
      <c r="F610" s="1014">
        <f t="shared" si="43"/>
        <v>0</v>
      </c>
      <c r="G610" s="1015">
        <f t="shared" si="44"/>
        <v>0</v>
      </c>
      <c r="H610" s="1166">
        <v>0</v>
      </c>
      <c r="I610" s="1167"/>
      <c r="J610" s="1167">
        <f>자부담세출!S53</f>
        <v>4000000</v>
      </c>
      <c r="K610" s="1168">
        <v>0</v>
      </c>
      <c r="L610" s="1169" t="s">
        <v>1004</v>
      </c>
      <c r="M610" s="1165"/>
      <c r="N610" s="1165"/>
      <c r="O610" s="1142"/>
      <c r="P610" s="1143"/>
      <c r="Q610" s="1142"/>
      <c r="R610" s="1144"/>
      <c r="S610" s="1142"/>
      <c r="T610" s="1145"/>
      <c r="U610" s="1164">
        <f>U611</f>
        <v>4000000</v>
      </c>
    </row>
    <row r="611" spans="1:32" ht="21.75" hidden="1" customHeight="1">
      <c r="A611" s="605"/>
      <c r="B611" s="606"/>
      <c r="C611" s="606"/>
      <c r="D611" s="607"/>
      <c r="E611" s="608"/>
      <c r="F611" s="609"/>
      <c r="G611" s="647"/>
      <c r="H611" s="645"/>
      <c r="I611" s="133"/>
      <c r="J611" s="133"/>
      <c r="K611" s="1040"/>
      <c r="L611" s="1343" t="s">
        <v>1000</v>
      </c>
      <c r="M611" s="1344"/>
      <c r="N611" s="1344"/>
      <c r="O611" s="1342">
        <v>2000000</v>
      </c>
      <c r="P611" s="1342"/>
      <c r="Q611" s="1342"/>
      <c r="R611" s="1069" t="s">
        <v>838</v>
      </c>
      <c r="S611" s="1097">
        <v>2</v>
      </c>
      <c r="T611" s="1071" t="s">
        <v>689</v>
      </c>
      <c r="U611" s="1080">
        <f t="shared" ref="U611" si="49">O611*S611</f>
        <v>4000000</v>
      </c>
    </row>
    <row r="612" spans="1:32" ht="21.75" customHeight="1">
      <c r="A612" s="605"/>
      <c r="B612" s="606"/>
      <c r="C612" s="1012" t="s">
        <v>135</v>
      </c>
      <c r="D612" s="1013">
        <v>3000000</v>
      </c>
      <c r="E612" s="1014">
        <f>SUM(H612:K612)</f>
        <v>3000000</v>
      </c>
      <c r="F612" s="1014">
        <f t="shared" si="43"/>
        <v>0</v>
      </c>
      <c r="G612" s="1015">
        <f t="shared" si="44"/>
        <v>0</v>
      </c>
      <c r="H612" s="1016">
        <v>0</v>
      </c>
      <c r="I612" s="1017">
        <f>자부담세출!T57</f>
        <v>0</v>
      </c>
      <c r="J612" s="1017">
        <f>자부담세출!S57</f>
        <v>2000000</v>
      </c>
      <c r="K612" s="1036">
        <f>후원금세출!F59</f>
        <v>1000000</v>
      </c>
      <c r="L612" s="1170" t="s">
        <v>1005</v>
      </c>
      <c r="M612" s="1171"/>
      <c r="N612" s="1171"/>
      <c r="O612" s="1142"/>
      <c r="P612" s="1143"/>
      <c r="Q612" s="1142"/>
      <c r="R612" s="1144"/>
      <c r="S612" s="1142"/>
      <c r="T612" s="1145"/>
      <c r="U612" s="1164">
        <f>U613</f>
        <v>3000000</v>
      </c>
      <c r="V612" s="630"/>
      <c r="W612" s="583"/>
      <c r="X612" s="583"/>
      <c r="AF612" s="633"/>
    </row>
    <row r="613" spans="1:32" ht="21.75" hidden="1" customHeight="1">
      <c r="A613" s="605"/>
      <c r="B613" s="606"/>
      <c r="C613" s="606"/>
      <c r="D613" s="607"/>
      <c r="E613" s="608"/>
      <c r="F613" s="609"/>
      <c r="G613" s="647"/>
      <c r="H613" s="642"/>
      <c r="I613" s="131"/>
      <c r="J613" s="131"/>
      <c r="K613" s="1037"/>
      <c r="L613" s="1343" t="s">
        <v>1001</v>
      </c>
      <c r="M613" s="1344"/>
      <c r="N613" s="1344"/>
      <c r="O613" s="1342">
        <f t="shared" ref="O613" si="50">ROUNDUP(U613/S613,-1)</f>
        <v>250000</v>
      </c>
      <c r="P613" s="1342"/>
      <c r="Q613" s="1342"/>
      <c r="R613" s="1069" t="s">
        <v>838</v>
      </c>
      <c r="S613" s="1097">
        <v>12</v>
      </c>
      <c r="T613" s="1071" t="s">
        <v>689</v>
      </c>
      <c r="U613" s="1080">
        <v>3000000</v>
      </c>
      <c r="V613" s="630"/>
      <c r="W613" s="583"/>
      <c r="X613" s="583"/>
      <c r="AF613" s="633"/>
    </row>
    <row r="614" spans="1:32" ht="21.75" hidden="1" customHeight="1">
      <c r="A614" s="1160"/>
      <c r="B614" s="606"/>
      <c r="C614" s="606" t="s">
        <v>136</v>
      </c>
      <c r="D614" s="738">
        <v>0</v>
      </c>
      <c r="E614" s="607"/>
      <c r="F614" s="738">
        <v>0</v>
      </c>
      <c r="G614" s="906" t="e">
        <v>#DIV/0!</v>
      </c>
      <c r="H614" s="642">
        <v>0</v>
      </c>
      <c r="I614" s="131"/>
      <c r="J614" s="131">
        <v>0</v>
      </c>
      <c r="K614" s="1037">
        <v>0</v>
      </c>
      <c r="L614" s="1088" t="s">
        <v>136</v>
      </c>
      <c r="M614" s="1007"/>
      <c r="N614" s="1007"/>
      <c r="O614" s="631"/>
      <c r="P614" s="611">
        <f>ROUNDUP(E614/12,-1)</f>
        <v>0</v>
      </c>
      <c r="Q614" s="610" t="s">
        <v>141</v>
      </c>
      <c r="R614" s="612">
        <v>12</v>
      </c>
      <c r="S614" s="610"/>
      <c r="T614" s="613"/>
      <c r="U614" s="1081" t="s">
        <v>689</v>
      </c>
      <c r="V614" s="630"/>
      <c r="W614" s="583"/>
      <c r="X614" s="583"/>
    </row>
    <row r="615" spans="1:32" s="633" customFormat="1" ht="21.75" customHeight="1">
      <c r="A615" s="1160"/>
      <c r="B615" s="614" t="s">
        <v>131</v>
      </c>
      <c r="C615" s="614" t="s">
        <v>94</v>
      </c>
      <c r="D615" s="1161">
        <f>SUM(D616:D650)</f>
        <v>145540000</v>
      </c>
      <c r="E615" s="1161">
        <f>SUM(E616:E650)</f>
        <v>131055800</v>
      </c>
      <c r="F615" s="615">
        <f>E615-D615</f>
        <v>-14484200</v>
      </c>
      <c r="G615" s="1159">
        <f>F615/D615*100</f>
        <v>-9.95204067610279</v>
      </c>
      <c r="H615" s="643">
        <f>SUM(H616:H650)</f>
        <v>51775800</v>
      </c>
      <c r="I615" s="616">
        <f>SUM(I616:I650)</f>
        <v>2000000</v>
      </c>
      <c r="J615" s="616">
        <f>SUM(J616:J650)</f>
        <v>44000000</v>
      </c>
      <c r="K615" s="1038">
        <f>SUM(K616:K650)</f>
        <v>33280000</v>
      </c>
      <c r="L615" s="1172" t="s">
        <v>1006</v>
      </c>
      <c r="M615" s="1008"/>
      <c r="N615" s="1008"/>
      <c r="O615" s="627"/>
      <c r="P615" s="627"/>
      <c r="Q615" s="627"/>
      <c r="R615" s="627"/>
      <c r="S615" s="627"/>
      <c r="T615" s="627"/>
      <c r="U615" s="1126">
        <f>U616+U635+U637+U643+U646+U650</f>
        <v>131055800</v>
      </c>
      <c r="AF615" s="583"/>
    </row>
    <row r="616" spans="1:32" ht="21.75" customHeight="1">
      <c r="A616" s="1160"/>
      <c r="B616" s="606"/>
      <c r="C616" s="1012" t="s">
        <v>287</v>
      </c>
      <c r="D616" s="1186">
        <v>89000000</v>
      </c>
      <c r="E616" s="1014">
        <f>SUM(H616:K616)</f>
        <v>72427000</v>
      </c>
      <c r="F616" s="1014">
        <f t="shared" ref="F616:F654" si="51">E616-D616</f>
        <v>-16573000</v>
      </c>
      <c r="G616" s="1015">
        <f t="shared" ref="G616:G654" si="52">F616/D616*100</f>
        <v>-18.621348314606742</v>
      </c>
      <c r="H616" s="1016">
        <f>국도비세출!F51</f>
        <v>1427000</v>
      </c>
      <c r="I616" s="1167">
        <f>자부담세출!T75</f>
        <v>2000000</v>
      </c>
      <c r="J616" s="1017">
        <f>자부담세출!F75-자부담세출!T75</f>
        <v>39000000</v>
      </c>
      <c r="K616" s="1036">
        <f>후원금세출!F78</f>
        <v>30000000</v>
      </c>
      <c r="L616" s="1375" t="s">
        <v>1032</v>
      </c>
      <c r="M616" s="1376"/>
      <c r="N616" s="1187"/>
      <c r="O616" s="1156"/>
      <c r="P616" s="1143"/>
      <c r="Q616" s="1142"/>
      <c r="R616" s="1144"/>
      <c r="S616" s="1142"/>
      <c r="T616" s="1145"/>
      <c r="U616" s="1164">
        <f>SUM(U617:U634)</f>
        <v>72427000</v>
      </c>
    </row>
    <row r="617" spans="1:32" ht="21.75" hidden="1" customHeight="1">
      <c r="A617" s="1160"/>
      <c r="B617" s="606"/>
      <c r="C617" s="606"/>
      <c r="D617" s="738"/>
      <c r="E617" s="608"/>
      <c r="F617" s="609"/>
      <c r="G617" s="647"/>
      <c r="H617" s="642"/>
      <c r="I617" s="133"/>
      <c r="J617" s="131"/>
      <c r="K617" s="1037"/>
      <c r="L617" s="1343" t="s">
        <v>1007</v>
      </c>
      <c r="M617" s="1344"/>
      <c r="N617" s="1344"/>
      <c r="O617" s="1342">
        <v>200000</v>
      </c>
      <c r="P617" s="1342"/>
      <c r="Q617" s="1342"/>
      <c r="R617" s="1069" t="s">
        <v>838</v>
      </c>
      <c r="S617" s="1097">
        <v>12</v>
      </c>
      <c r="T617" s="1071" t="s">
        <v>689</v>
      </c>
      <c r="U617" s="1080">
        <f t="shared" ref="U617:U633" si="53">O617*S617</f>
        <v>2400000</v>
      </c>
    </row>
    <row r="618" spans="1:32" ht="21.75" hidden="1" customHeight="1">
      <c r="A618" s="1160"/>
      <c r="B618" s="606"/>
      <c r="C618" s="606"/>
      <c r="D618" s="738"/>
      <c r="E618" s="608"/>
      <c r="F618" s="609"/>
      <c r="G618" s="647"/>
      <c r="H618" s="642"/>
      <c r="I618" s="133"/>
      <c r="J618" s="131"/>
      <c r="K618" s="1037"/>
      <c r="L618" s="1343" t="s">
        <v>1008</v>
      </c>
      <c r="M618" s="1344"/>
      <c r="N618" s="1344"/>
      <c r="O618" s="1342">
        <v>100000</v>
      </c>
      <c r="P618" s="1342"/>
      <c r="Q618" s="1342"/>
      <c r="R618" s="1069" t="s">
        <v>838</v>
      </c>
      <c r="S618" s="1097">
        <v>12</v>
      </c>
      <c r="T618" s="1071" t="s">
        <v>689</v>
      </c>
      <c r="U618" s="1080">
        <f t="shared" si="53"/>
        <v>1200000</v>
      </c>
    </row>
    <row r="619" spans="1:32" ht="21.75" hidden="1" customHeight="1">
      <c r="A619" s="1160"/>
      <c r="B619" s="606"/>
      <c r="C619" s="606"/>
      <c r="D619" s="738"/>
      <c r="E619" s="608"/>
      <c r="F619" s="609"/>
      <c r="G619" s="647"/>
      <c r="H619" s="642"/>
      <c r="I619" s="133"/>
      <c r="J619" s="131"/>
      <c r="K619" s="1037"/>
      <c r="L619" s="1343" t="s">
        <v>1009</v>
      </c>
      <c r="M619" s="1344"/>
      <c r="N619" s="1344"/>
      <c r="O619" s="1342">
        <v>500000</v>
      </c>
      <c r="P619" s="1342"/>
      <c r="Q619" s="1342"/>
      <c r="R619" s="1069" t="s">
        <v>838</v>
      </c>
      <c r="S619" s="1097">
        <v>12</v>
      </c>
      <c r="T619" s="1071" t="s">
        <v>689</v>
      </c>
      <c r="U619" s="1080">
        <f t="shared" si="53"/>
        <v>6000000</v>
      </c>
    </row>
    <row r="620" spans="1:32" ht="21.75" hidden="1" customHeight="1">
      <c r="A620" s="1160"/>
      <c r="B620" s="606"/>
      <c r="C620" s="606"/>
      <c r="D620" s="738"/>
      <c r="E620" s="608"/>
      <c r="F620" s="609"/>
      <c r="G620" s="647"/>
      <c r="H620" s="642"/>
      <c r="I620" s="133"/>
      <c r="J620" s="131"/>
      <c r="K620" s="1037"/>
      <c r="L620" s="1343" t="s">
        <v>1010</v>
      </c>
      <c r="M620" s="1344"/>
      <c r="N620" s="1344"/>
      <c r="O620" s="1342">
        <v>1000000</v>
      </c>
      <c r="P620" s="1342"/>
      <c r="Q620" s="1342"/>
      <c r="R620" s="1069" t="s">
        <v>838</v>
      </c>
      <c r="S620" s="1097">
        <v>1</v>
      </c>
      <c r="T620" s="1071" t="s">
        <v>689</v>
      </c>
      <c r="U620" s="1080">
        <f t="shared" si="53"/>
        <v>1000000</v>
      </c>
    </row>
    <row r="621" spans="1:32" ht="21.75" hidden="1" customHeight="1">
      <c r="A621" s="1160"/>
      <c r="B621" s="606"/>
      <c r="C621" s="606"/>
      <c r="D621" s="738"/>
      <c r="E621" s="608"/>
      <c r="F621" s="609"/>
      <c r="G621" s="647"/>
      <c r="H621" s="642"/>
      <c r="I621" s="133"/>
      <c r="J621" s="131"/>
      <c r="K621" s="1037"/>
      <c r="L621" s="1343" t="s">
        <v>1011</v>
      </c>
      <c r="M621" s="1344"/>
      <c r="N621" s="1344"/>
      <c r="O621" s="1342">
        <v>5000000</v>
      </c>
      <c r="P621" s="1342"/>
      <c r="Q621" s="1342"/>
      <c r="R621" s="1069" t="s">
        <v>838</v>
      </c>
      <c r="S621" s="1097">
        <v>1</v>
      </c>
      <c r="T621" s="1071" t="s">
        <v>689</v>
      </c>
      <c r="U621" s="1080">
        <f t="shared" si="53"/>
        <v>5000000</v>
      </c>
    </row>
    <row r="622" spans="1:32" ht="21.75" hidden="1" customHeight="1">
      <c r="A622" s="1160"/>
      <c r="B622" s="606"/>
      <c r="C622" s="606"/>
      <c r="D622" s="738"/>
      <c r="E622" s="608"/>
      <c r="F622" s="609"/>
      <c r="G622" s="647"/>
      <c r="H622" s="642"/>
      <c r="I622" s="133"/>
      <c r="J622" s="131"/>
      <c r="K622" s="1037"/>
      <c r="L622" s="1343" t="s">
        <v>1012</v>
      </c>
      <c r="M622" s="1344"/>
      <c r="N622" s="1344"/>
      <c r="O622" s="1342">
        <v>500000</v>
      </c>
      <c r="P622" s="1342"/>
      <c r="Q622" s="1342"/>
      <c r="R622" s="1069" t="s">
        <v>838</v>
      </c>
      <c r="S622" s="1097">
        <v>12</v>
      </c>
      <c r="T622" s="1071" t="s">
        <v>689</v>
      </c>
      <c r="U622" s="1080">
        <f t="shared" si="53"/>
        <v>6000000</v>
      </c>
    </row>
    <row r="623" spans="1:32" ht="21.75" hidden="1" customHeight="1">
      <c r="A623" s="1160"/>
      <c r="B623" s="606"/>
      <c r="C623" s="606"/>
      <c r="D623" s="738"/>
      <c r="E623" s="608"/>
      <c r="F623" s="609"/>
      <c r="G623" s="647"/>
      <c r="H623" s="642"/>
      <c r="I623" s="133"/>
      <c r="J623" s="131"/>
      <c r="K623" s="1037"/>
      <c r="L623" s="1343" t="s">
        <v>1013</v>
      </c>
      <c r="M623" s="1344"/>
      <c r="N623" s="1344"/>
      <c r="O623" s="1342">
        <v>2000000</v>
      </c>
      <c r="P623" s="1342"/>
      <c r="Q623" s="1342"/>
      <c r="R623" s="1069" t="s">
        <v>838</v>
      </c>
      <c r="S623" s="1097">
        <v>1</v>
      </c>
      <c r="T623" s="1071" t="s">
        <v>689</v>
      </c>
      <c r="U623" s="1080">
        <f t="shared" si="53"/>
        <v>2000000</v>
      </c>
    </row>
    <row r="624" spans="1:32" ht="21.75" hidden="1" customHeight="1">
      <c r="A624" s="1160"/>
      <c r="B624" s="606"/>
      <c r="C624" s="606"/>
      <c r="D624" s="738"/>
      <c r="E624" s="608"/>
      <c r="F624" s="609"/>
      <c r="G624" s="647"/>
      <c r="H624" s="642"/>
      <c r="I624" s="133"/>
      <c r="J624" s="131"/>
      <c r="K624" s="1037"/>
      <c r="L624" s="1343" t="s">
        <v>1014</v>
      </c>
      <c r="M624" s="1344"/>
      <c r="N624" s="1344"/>
      <c r="O624" s="1342">
        <v>2000000</v>
      </c>
      <c r="P624" s="1342"/>
      <c r="Q624" s="1342"/>
      <c r="R624" s="1069" t="s">
        <v>838</v>
      </c>
      <c r="S624" s="1097">
        <v>1</v>
      </c>
      <c r="T624" s="1071" t="s">
        <v>689</v>
      </c>
      <c r="U624" s="1080">
        <f t="shared" si="53"/>
        <v>2000000</v>
      </c>
    </row>
    <row r="625" spans="1:21" ht="21.75" hidden="1" customHeight="1">
      <c r="A625" s="1160"/>
      <c r="B625" s="606"/>
      <c r="C625" s="606"/>
      <c r="D625" s="738"/>
      <c r="E625" s="608"/>
      <c r="F625" s="609"/>
      <c r="G625" s="647"/>
      <c r="H625" s="642"/>
      <c r="I625" s="133"/>
      <c r="J625" s="131"/>
      <c r="K625" s="1037"/>
      <c r="L625" s="1343" t="s">
        <v>1015</v>
      </c>
      <c r="M625" s="1344"/>
      <c r="N625" s="1344"/>
      <c r="O625" s="1342">
        <v>200000</v>
      </c>
      <c r="P625" s="1342"/>
      <c r="Q625" s="1342"/>
      <c r="R625" s="1069" t="s">
        <v>838</v>
      </c>
      <c r="S625" s="1097">
        <v>1</v>
      </c>
      <c r="T625" s="1071" t="s">
        <v>689</v>
      </c>
      <c r="U625" s="1080">
        <f t="shared" si="53"/>
        <v>200000</v>
      </c>
    </row>
    <row r="626" spans="1:21" ht="21.75" hidden="1" customHeight="1">
      <c r="A626" s="1160"/>
      <c r="B626" s="606"/>
      <c r="C626" s="606"/>
      <c r="D626" s="738"/>
      <c r="E626" s="608"/>
      <c r="F626" s="609"/>
      <c r="G626" s="647"/>
      <c r="H626" s="642"/>
      <c r="I626" s="133"/>
      <c r="J626" s="131"/>
      <c r="K626" s="1037"/>
      <c r="L626" s="1343" t="s">
        <v>1016</v>
      </c>
      <c r="M626" s="1344"/>
      <c r="N626" s="1344"/>
      <c r="O626" s="1342">
        <v>300000</v>
      </c>
      <c r="P626" s="1342"/>
      <c r="Q626" s="1342"/>
      <c r="R626" s="1069" t="s">
        <v>838</v>
      </c>
      <c r="S626" s="1097">
        <v>12</v>
      </c>
      <c r="T626" s="1071" t="s">
        <v>689</v>
      </c>
      <c r="U626" s="1080">
        <f t="shared" si="53"/>
        <v>3600000</v>
      </c>
    </row>
    <row r="627" spans="1:21" ht="21.75" hidden="1" customHeight="1">
      <c r="A627" s="1160"/>
      <c r="B627" s="606"/>
      <c r="C627" s="606"/>
      <c r="D627" s="738"/>
      <c r="E627" s="608"/>
      <c r="F627" s="609"/>
      <c r="G627" s="647"/>
      <c r="H627" s="642"/>
      <c r="I627" s="133"/>
      <c r="J627" s="131"/>
      <c r="K627" s="1037"/>
      <c r="L627" s="1343" t="s">
        <v>1017</v>
      </c>
      <c r="M627" s="1344"/>
      <c r="N627" s="1344"/>
      <c r="O627" s="1342">
        <v>300000</v>
      </c>
      <c r="P627" s="1342"/>
      <c r="Q627" s="1342"/>
      <c r="R627" s="1069" t="s">
        <v>838</v>
      </c>
      <c r="S627" s="1097">
        <v>12</v>
      </c>
      <c r="T627" s="1071" t="s">
        <v>689</v>
      </c>
      <c r="U627" s="1080">
        <f t="shared" si="53"/>
        <v>3600000</v>
      </c>
    </row>
    <row r="628" spans="1:21" ht="21.75" hidden="1" customHeight="1">
      <c r="A628" s="1160"/>
      <c r="B628" s="606"/>
      <c r="C628" s="606"/>
      <c r="D628" s="738"/>
      <c r="E628" s="608"/>
      <c r="F628" s="609"/>
      <c r="G628" s="647"/>
      <c r="H628" s="642"/>
      <c r="I628" s="133"/>
      <c r="J628" s="131"/>
      <c r="K628" s="1037"/>
      <c r="L628" s="1343" t="s">
        <v>1018</v>
      </c>
      <c r="M628" s="1344"/>
      <c r="N628" s="1344"/>
      <c r="O628" s="1342">
        <v>3000000</v>
      </c>
      <c r="P628" s="1342"/>
      <c r="Q628" s="1342"/>
      <c r="R628" s="1069" t="s">
        <v>838</v>
      </c>
      <c r="S628" s="1097">
        <v>1</v>
      </c>
      <c r="T628" s="1071" t="s">
        <v>689</v>
      </c>
      <c r="U628" s="1080">
        <f t="shared" si="53"/>
        <v>3000000</v>
      </c>
    </row>
    <row r="629" spans="1:21" ht="21.75" hidden="1" customHeight="1">
      <c r="A629" s="1160"/>
      <c r="B629" s="606"/>
      <c r="C629" s="606"/>
      <c r="D629" s="738"/>
      <c r="E629" s="608"/>
      <c r="F629" s="609"/>
      <c r="G629" s="647"/>
      <c r="H629" s="642"/>
      <c r="I629" s="133"/>
      <c r="J629" s="131"/>
      <c r="K629" s="1037"/>
      <c r="L629" s="1343" t="s">
        <v>1019</v>
      </c>
      <c r="M629" s="1344"/>
      <c r="N629" s="1344"/>
      <c r="O629" s="1342">
        <v>600000</v>
      </c>
      <c r="P629" s="1342"/>
      <c r="Q629" s="1342"/>
      <c r="R629" s="1069" t="s">
        <v>838</v>
      </c>
      <c r="S629" s="1097">
        <v>12</v>
      </c>
      <c r="T629" s="1071" t="s">
        <v>689</v>
      </c>
      <c r="U629" s="1080">
        <f t="shared" si="53"/>
        <v>7200000</v>
      </c>
    </row>
    <row r="630" spans="1:21" ht="21.75" hidden="1" customHeight="1">
      <c r="A630" s="1160"/>
      <c r="B630" s="606"/>
      <c r="C630" s="606"/>
      <c r="D630" s="738"/>
      <c r="E630" s="608"/>
      <c r="F630" s="609"/>
      <c r="G630" s="647"/>
      <c r="H630" s="642"/>
      <c r="I630" s="133"/>
      <c r="J630" s="131"/>
      <c r="K630" s="1037"/>
      <c r="L630" s="1343" t="s">
        <v>1020</v>
      </c>
      <c r="M630" s="1344"/>
      <c r="N630" s="1344"/>
      <c r="O630" s="1342">
        <v>1200000</v>
      </c>
      <c r="P630" s="1342"/>
      <c r="Q630" s="1342"/>
      <c r="R630" s="1069" t="s">
        <v>838</v>
      </c>
      <c r="S630" s="1097">
        <v>1</v>
      </c>
      <c r="T630" s="1071" t="s">
        <v>689</v>
      </c>
      <c r="U630" s="1080">
        <f t="shared" si="53"/>
        <v>1200000</v>
      </c>
    </row>
    <row r="631" spans="1:21" ht="21.75" hidden="1" customHeight="1">
      <c r="A631" s="1160"/>
      <c r="B631" s="606"/>
      <c r="C631" s="606"/>
      <c r="D631" s="738"/>
      <c r="E631" s="608"/>
      <c r="F631" s="609"/>
      <c r="G631" s="647"/>
      <c r="H631" s="642"/>
      <c r="I631" s="133"/>
      <c r="J631" s="131"/>
      <c r="K631" s="1037"/>
      <c r="L631" s="1343" t="s">
        <v>1021</v>
      </c>
      <c r="M631" s="1344"/>
      <c r="N631" s="1344"/>
      <c r="O631" s="1342">
        <v>200000</v>
      </c>
      <c r="P631" s="1342"/>
      <c r="Q631" s="1342"/>
      <c r="R631" s="1069" t="s">
        <v>838</v>
      </c>
      <c r="S631" s="1097">
        <v>12</v>
      </c>
      <c r="T631" s="1071" t="s">
        <v>689</v>
      </c>
      <c r="U631" s="1080">
        <f t="shared" si="53"/>
        <v>2400000</v>
      </c>
    </row>
    <row r="632" spans="1:21" ht="21.75" hidden="1" customHeight="1">
      <c r="A632" s="1160"/>
      <c r="B632" s="606"/>
      <c r="C632" s="606"/>
      <c r="D632" s="738"/>
      <c r="E632" s="608"/>
      <c r="F632" s="609"/>
      <c r="G632" s="647"/>
      <c r="H632" s="642"/>
      <c r="I632" s="133"/>
      <c r="J632" s="131"/>
      <c r="K632" s="1037"/>
      <c r="L632" s="1343" t="s">
        <v>1022</v>
      </c>
      <c r="M632" s="1344"/>
      <c r="N632" s="1344"/>
      <c r="O632" s="1342">
        <v>10000000</v>
      </c>
      <c r="P632" s="1342"/>
      <c r="Q632" s="1342"/>
      <c r="R632" s="1069" t="s">
        <v>838</v>
      </c>
      <c r="S632" s="1097">
        <v>1</v>
      </c>
      <c r="T632" s="1071" t="s">
        <v>689</v>
      </c>
      <c r="U632" s="1080">
        <f t="shared" si="53"/>
        <v>10000000</v>
      </c>
    </row>
    <row r="633" spans="1:21" ht="21.75" hidden="1" customHeight="1">
      <c r="A633" s="1160"/>
      <c r="B633" s="606"/>
      <c r="C633" s="606"/>
      <c r="D633" s="738"/>
      <c r="E633" s="608"/>
      <c r="F633" s="609"/>
      <c r="G633" s="647"/>
      <c r="H633" s="642"/>
      <c r="I633" s="133"/>
      <c r="J633" s="131"/>
      <c r="K633" s="1037"/>
      <c r="L633" s="1343" t="s">
        <v>1023</v>
      </c>
      <c r="M633" s="1344"/>
      <c r="N633" s="1344"/>
      <c r="O633" s="1342">
        <v>6000000</v>
      </c>
      <c r="P633" s="1342"/>
      <c r="Q633" s="1342"/>
      <c r="R633" s="1069" t="s">
        <v>838</v>
      </c>
      <c r="S633" s="1097">
        <v>1</v>
      </c>
      <c r="T633" s="1071" t="s">
        <v>689</v>
      </c>
      <c r="U633" s="1080">
        <f t="shared" si="53"/>
        <v>6000000</v>
      </c>
    </row>
    <row r="634" spans="1:21" ht="21.75" hidden="1" customHeight="1">
      <c r="A634" s="1160"/>
      <c r="B634" s="606"/>
      <c r="C634" s="606"/>
      <c r="D634" s="738"/>
      <c r="E634" s="608"/>
      <c r="F634" s="609"/>
      <c r="G634" s="647"/>
      <c r="H634" s="642"/>
      <c r="I634" s="133"/>
      <c r="J634" s="131"/>
      <c r="K634" s="1037"/>
      <c r="L634" s="1343" t="s">
        <v>1024</v>
      </c>
      <c r="M634" s="1344"/>
      <c r="N634" s="1344"/>
      <c r="O634" s="1342">
        <f t="shared" ref="O634" si="54">ROUNDUP(U634/S634,-1)</f>
        <v>1604500</v>
      </c>
      <c r="P634" s="1342"/>
      <c r="Q634" s="1342"/>
      <c r="R634" s="1069" t="s">
        <v>838</v>
      </c>
      <c r="S634" s="1097">
        <v>6</v>
      </c>
      <c r="T634" s="1071" t="s">
        <v>689</v>
      </c>
      <c r="U634" s="1080">
        <v>9627000</v>
      </c>
    </row>
    <row r="635" spans="1:21" ht="21.75" customHeight="1">
      <c r="A635" s="1160"/>
      <c r="B635" s="606"/>
      <c r="C635" s="1012" t="s">
        <v>288</v>
      </c>
      <c r="D635" s="1186">
        <v>5000000</v>
      </c>
      <c r="E635" s="1014">
        <f t="shared" ref="E635:E654" si="55">SUM(H635:K635)</f>
        <v>5000000</v>
      </c>
      <c r="F635" s="1014">
        <f t="shared" si="51"/>
        <v>0</v>
      </c>
      <c r="G635" s="1015">
        <f t="shared" si="52"/>
        <v>0</v>
      </c>
      <c r="H635" s="1166">
        <v>0</v>
      </c>
      <c r="I635" s="1167">
        <f>SUM(I637:I653)</f>
        <v>0</v>
      </c>
      <c r="J635" s="1017">
        <f>자부담세출!F77</f>
        <v>5000000</v>
      </c>
      <c r="K635" s="1168">
        <v>0</v>
      </c>
      <c r="L635" s="1375" t="s">
        <v>1033</v>
      </c>
      <c r="M635" s="1376"/>
      <c r="N635" s="1188"/>
      <c r="O635" s="1156"/>
      <c r="P635" s="1143"/>
      <c r="Q635" s="1142"/>
      <c r="R635" s="1144"/>
      <c r="S635" s="1142"/>
      <c r="T635" s="1145"/>
      <c r="U635" s="1164">
        <f>U636</f>
        <v>5000000</v>
      </c>
    </row>
    <row r="636" spans="1:21" ht="21.75" customHeight="1">
      <c r="A636" s="1160"/>
      <c r="B636" s="606"/>
      <c r="C636" s="606"/>
      <c r="D636" s="738"/>
      <c r="E636" s="608"/>
      <c r="F636" s="609"/>
      <c r="G636" s="647"/>
      <c r="H636" s="645"/>
      <c r="I636" s="133"/>
      <c r="J636" s="131"/>
      <c r="K636" s="1040"/>
      <c r="L636" s="1343" t="s">
        <v>1025</v>
      </c>
      <c r="M636" s="1344"/>
      <c r="N636" s="1344"/>
      <c r="O636" s="1342">
        <f t="shared" ref="O636" si="56">ROUNDUP(U636/S636,-1)</f>
        <v>416670</v>
      </c>
      <c r="P636" s="1342"/>
      <c r="Q636" s="1342"/>
      <c r="R636" s="1069" t="s">
        <v>838</v>
      </c>
      <c r="S636" s="1097">
        <v>12</v>
      </c>
      <c r="T636" s="1071" t="s">
        <v>689</v>
      </c>
      <c r="U636" s="1080">
        <v>5000000</v>
      </c>
    </row>
    <row r="637" spans="1:21" ht="21.75" customHeight="1">
      <c r="A637" s="1160"/>
      <c r="B637" s="606"/>
      <c r="C637" s="1012" t="s">
        <v>289</v>
      </c>
      <c r="D637" s="1186">
        <v>32840000</v>
      </c>
      <c r="E637" s="1014">
        <f t="shared" si="55"/>
        <v>32840000</v>
      </c>
      <c r="F637" s="1014">
        <f t="shared" si="51"/>
        <v>0</v>
      </c>
      <c r="G637" s="1015">
        <f t="shared" si="52"/>
        <v>0</v>
      </c>
      <c r="H637" s="1016">
        <f>시군구세출!F25</f>
        <v>32840000</v>
      </c>
      <c r="I637" s="1167"/>
      <c r="J637" s="1017">
        <v>0</v>
      </c>
      <c r="K637" s="1168">
        <v>0</v>
      </c>
      <c r="L637" s="1375" t="s">
        <v>1034</v>
      </c>
      <c r="M637" s="1376"/>
      <c r="N637" s="1187"/>
      <c r="O637" s="1156"/>
      <c r="P637" s="1143"/>
      <c r="Q637" s="1142"/>
      <c r="R637" s="1144"/>
      <c r="S637" s="1142"/>
      <c r="T637" s="1145"/>
      <c r="U637" s="1164">
        <f>SUM(U638:U642)</f>
        <v>32840000</v>
      </c>
    </row>
    <row r="638" spans="1:21" ht="21.75" customHeight="1">
      <c r="A638" s="1160"/>
      <c r="B638" s="606"/>
      <c r="C638" s="606"/>
      <c r="D638" s="738"/>
      <c r="E638" s="608"/>
      <c r="F638" s="609"/>
      <c r="G638" s="647"/>
      <c r="H638" s="642"/>
      <c r="I638" s="133"/>
      <c r="J638" s="131"/>
      <c r="K638" s="1040"/>
      <c r="L638" s="1343" t="s">
        <v>1031</v>
      </c>
      <c r="M638" s="1344"/>
      <c r="N638" s="1344"/>
      <c r="O638" s="1342">
        <v>40000</v>
      </c>
      <c r="P638" s="1342"/>
      <c r="Q638" s="1342"/>
      <c r="R638" s="1069" t="s">
        <v>838</v>
      </c>
      <c r="S638" s="1097" t="s">
        <v>1026</v>
      </c>
      <c r="T638" s="1071" t="s">
        <v>689</v>
      </c>
      <c r="U638" s="1080">
        <f>O638*80</f>
        <v>3200000</v>
      </c>
    </row>
    <row r="639" spans="1:21" ht="21.75" customHeight="1">
      <c r="A639" s="1160"/>
      <c r="B639" s="606"/>
      <c r="C639" s="606"/>
      <c r="D639" s="738"/>
      <c r="E639" s="608"/>
      <c r="F639" s="609"/>
      <c r="G639" s="647"/>
      <c r="H639" s="642"/>
      <c r="I639" s="133"/>
      <c r="J639" s="131"/>
      <c r="K639" s="1040"/>
      <c r="L639" s="1343" t="s">
        <v>1027</v>
      </c>
      <c r="M639" s="1344"/>
      <c r="N639" s="1344"/>
      <c r="O639" s="1342">
        <f>14600000/12</f>
        <v>1216666.6666666667</v>
      </c>
      <c r="P639" s="1342"/>
      <c r="Q639" s="1342"/>
      <c r="R639" s="1069" t="s">
        <v>838</v>
      </c>
      <c r="S639" s="1097">
        <v>12</v>
      </c>
      <c r="T639" s="1071" t="s">
        <v>689</v>
      </c>
      <c r="U639" s="1080">
        <f t="shared" ref="U639:U642" si="57">O639*S639</f>
        <v>14600000</v>
      </c>
    </row>
    <row r="640" spans="1:21" ht="21.75" customHeight="1">
      <c r="A640" s="1160"/>
      <c r="B640" s="606"/>
      <c r="C640" s="606"/>
      <c r="D640" s="738"/>
      <c r="E640" s="608"/>
      <c r="F640" s="609"/>
      <c r="G640" s="647"/>
      <c r="H640" s="642"/>
      <c r="I640" s="133"/>
      <c r="J640" s="131"/>
      <c r="K640" s="1040"/>
      <c r="L640" s="1343" t="s">
        <v>1028</v>
      </c>
      <c r="M640" s="1344"/>
      <c r="N640" s="1344"/>
      <c r="O640" s="1342">
        <f>4800000/12</f>
        <v>400000</v>
      </c>
      <c r="P640" s="1342"/>
      <c r="Q640" s="1342"/>
      <c r="R640" s="1069" t="s">
        <v>838</v>
      </c>
      <c r="S640" s="1097">
        <v>12</v>
      </c>
      <c r="T640" s="1071" t="s">
        <v>689</v>
      </c>
      <c r="U640" s="1080">
        <f t="shared" si="57"/>
        <v>4800000</v>
      </c>
    </row>
    <row r="641" spans="1:21" ht="21.75" customHeight="1">
      <c r="A641" s="1160"/>
      <c r="B641" s="606"/>
      <c r="C641" s="606"/>
      <c r="D641" s="738"/>
      <c r="E641" s="608"/>
      <c r="F641" s="609"/>
      <c r="G641" s="647"/>
      <c r="H641" s="642"/>
      <c r="I641" s="133"/>
      <c r="J641" s="131"/>
      <c r="K641" s="1040"/>
      <c r="L641" s="1343" t="s">
        <v>1029</v>
      </c>
      <c r="M641" s="1344"/>
      <c r="N641" s="1344"/>
      <c r="O641" s="1342">
        <f>6400000/12</f>
        <v>533333.33333333337</v>
      </c>
      <c r="P641" s="1342"/>
      <c r="Q641" s="1342"/>
      <c r="R641" s="1069" t="s">
        <v>838</v>
      </c>
      <c r="S641" s="1097">
        <v>12</v>
      </c>
      <c r="T641" s="1071" t="s">
        <v>689</v>
      </c>
      <c r="U641" s="1080">
        <f t="shared" si="57"/>
        <v>6400000</v>
      </c>
    </row>
    <row r="642" spans="1:21" ht="21.75" customHeight="1">
      <c r="A642" s="1160"/>
      <c r="B642" s="606"/>
      <c r="C642" s="606"/>
      <c r="D642" s="738"/>
      <c r="E642" s="608"/>
      <c r="F642" s="609"/>
      <c r="G642" s="647"/>
      <c r="H642" s="642"/>
      <c r="I642" s="133"/>
      <c r="J642" s="131"/>
      <c r="K642" s="1040"/>
      <c r="L642" s="1343" t="s">
        <v>1030</v>
      </c>
      <c r="M642" s="1344"/>
      <c r="N642" s="1344"/>
      <c r="O642" s="1342">
        <f>3840000/12</f>
        <v>320000</v>
      </c>
      <c r="P642" s="1342"/>
      <c r="Q642" s="1342"/>
      <c r="R642" s="1069" t="s">
        <v>838</v>
      </c>
      <c r="S642" s="1097">
        <v>12</v>
      </c>
      <c r="T642" s="1071" t="s">
        <v>689</v>
      </c>
      <c r="U642" s="1080">
        <f t="shared" si="57"/>
        <v>3840000</v>
      </c>
    </row>
    <row r="643" spans="1:21" ht="21.75" customHeight="1">
      <c r="A643" s="1160"/>
      <c r="B643" s="606"/>
      <c r="C643" s="1012" t="s">
        <v>290</v>
      </c>
      <c r="D643" s="1186">
        <v>6600000</v>
      </c>
      <c r="E643" s="1014">
        <f t="shared" si="55"/>
        <v>6600000</v>
      </c>
      <c r="F643" s="1014">
        <f t="shared" si="51"/>
        <v>0</v>
      </c>
      <c r="G643" s="1015">
        <f t="shared" si="52"/>
        <v>0</v>
      </c>
      <c r="H643" s="1016">
        <f>시군구세출!F21</f>
        <v>6600000</v>
      </c>
      <c r="I643" s="1167"/>
      <c r="J643" s="1017">
        <v>0</v>
      </c>
      <c r="K643" s="1168">
        <v>0</v>
      </c>
      <c r="L643" s="1375" t="s">
        <v>1035</v>
      </c>
      <c r="M643" s="1376"/>
      <c r="N643" s="1187"/>
      <c r="O643" s="1156"/>
      <c r="P643" s="1143"/>
      <c r="Q643" s="1142"/>
      <c r="R643" s="1144"/>
      <c r="S643" s="1142"/>
      <c r="T643" s="1145"/>
      <c r="U643" s="1164">
        <f>SUM(U644:U645)</f>
        <v>6600000</v>
      </c>
    </row>
    <row r="644" spans="1:21" ht="21.75" customHeight="1">
      <c r="A644" s="1160"/>
      <c r="B644" s="606"/>
      <c r="C644" s="606"/>
      <c r="D644" s="738"/>
      <c r="E644" s="608"/>
      <c r="F644" s="609"/>
      <c r="G644" s="647"/>
      <c r="H644" s="642"/>
      <c r="I644" s="133"/>
      <c r="J644" s="131"/>
      <c r="K644" s="1040"/>
      <c r="L644" s="1343" t="s">
        <v>1038</v>
      </c>
      <c r="M644" s="1344"/>
      <c r="N644" s="1344"/>
      <c r="O644" s="1342">
        <f>3600000/12</f>
        <v>300000</v>
      </c>
      <c r="P644" s="1342"/>
      <c r="Q644" s="1342"/>
      <c r="R644" s="1069" t="s">
        <v>838</v>
      </c>
      <c r="S644" s="1097">
        <v>12</v>
      </c>
      <c r="T644" s="1071" t="s">
        <v>689</v>
      </c>
      <c r="U644" s="1080">
        <f t="shared" ref="U644:U645" si="58">O644*S644</f>
        <v>3600000</v>
      </c>
    </row>
    <row r="645" spans="1:21" ht="21.75" customHeight="1">
      <c r="A645" s="1160"/>
      <c r="B645" s="606"/>
      <c r="C645" s="606"/>
      <c r="D645" s="738"/>
      <c r="E645" s="608"/>
      <c r="F645" s="609"/>
      <c r="G645" s="647"/>
      <c r="H645" s="642"/>
      <c r="I645" s="133"/>
      <c r="J645" s="131"/>
      <c r="K645" s="1040"/>
      <c r="L645" s="1343" t="s">
        <v>1039</v>
      </c>
      <c r="M645" s="1344"/>
      <c r="N645" s="1344"/>
      <c r="O645" s="1342">
        <f>3000000/12</f>
        <v>250000</v>
      </c>
      <c r="P645" s="1342"/>
      <c r="Q645" s="1342"/>
      <c r="R645" s="1069" t="s">
        <v>838</v>
      </c>
      <c r="S645" s="1097">
        <v>12</v>
      </c>
      <c r="T645" s="1071" t="s">
        <v>689</v>
      </c>
      <c r="U645" s="1080">
        <f t="shared" si="58"/>
        <v>3000000</v>
      </c>
    </row>
    <row r="646" spans="1:21" ht="21.75" customHeight="1">
      <c r="A646" s="1160"/>
      <c r="B646" s="606"/>
      <c r="C646" s="1012" t="s">
        <v>291</v>
      </c>
      <c r="D646" s="1186">
        <v>10000000</v>
      </c>
      <c r="E646" s="1014">
        <f t="shared" si="55"/>
        <v>10000000</v>
      </c>
      <c r="F646" s="1014">
        <f t="shared" si="51"/>
        <v>0</v>
      </c>
      <c r="G646" s="1015">
        <f t="shared" si="52"/>
        <v>0</v>
      </c>
      <c r="H646" s="1016">
        <f>시군구세출!F32</f>
        <v>6720000</v>
      </c>
      <c r="I646" s="1167"/>
      <c r="J646" s="1017">
        <v>0</v>
      </c>
      <c r="K646" s="1168">
        <f>후원금세출!F81</f>
        <v>3280000</v>
      </c>
      <c r="L646" s="1375" t="s">
        <v>1036</v>
      </c>
      <c r="M646" s="1376"/>
      <c r="N646" s="1187"/>
      <c r="O646" s="1156"/>
      <c r="P646" s="1143"/>
      <c r="Q646" s="1142"/>
      <c r="R646" s="1144"/>
      <c r="S646" s="1142"/>
      <c r="T646" s="1145"/>
      <c r="U646" s="1164">
        <f>SUM(U647:U649)</f>
        <v>10000000</v>
      </c>
    </row>
    <row r="647" spans="1:21" ht="21.75" hidden="1" customHeight="1">
      <c r="A647" s="1160"/>
      <c r="B647" s="606"/>
      <c r="C647" s="606"/>
      <c r="D647" s="738"/>
      <c r="E647" s="608"/>
      <c r="F647" s="609"/>
      <c r="G647" s="647"/>
      <c r="H647" s="642"/>
      <c r="I647" s="133"/>
      <c r="J647" s="131"/>
      <c r="K647" s="1040"/>
      <c r="L647" s="1377" t="s">
        <v>1040</v>
      </c>
      <c r="M647" s="1378"/>
      <c r="N647" s="1378"/>
      <c r="O647" s="1342">
        <v>7900000</v>
      </c>
      <c r="P647" s="1342"/>
      <c r="Q647" s="1342"/>
      <c r="R647" s="1069" t="s">
        <v>838</v>
      </c>
      <c r="S647" s="1097">
        <v>1</v>
      </c>
      <c r="T647" s="1071" t="s">
        <v>689</v>
      </c>
      <c r="U647" s="1080">
        <f t="shared" ref="U647:U649" si="59">O647*S647</f>
        <v>7900000</v>
      </c>
    </row>
    <row r="648" spans="1:21" ht="21.75" hidden="1" customHeight="1">
      <c r="A648" s="1160"/>
      <c r="B648" s="606"/>
      <c r="C648" s="606"/>
      <c r="D648" s="738"/>
      <c r="E648" s="608"/>
      <c r="F648" s="609"/>
      <c r="G648" s="647"/>
      <c r="H648" s="642"/>
      <c r="I648" s="133"/>
      <c r="J648" s="131"/>
      <c r="K648" s="1040"/>
      <c r="L648" s="1377" t="s">
        <v>1041</v>
      </c>
      <c r="M648" s="1378"/>
      <c r="N648" s="1378"/>
      <c r="O648" s="1342">
        <v>100000</v>
      </c>
      <c r="P648" s="1342"/>
      <c r="Q648" s="1342"/>
      <c r="R648" s="1069" t="s">
        <v>838</v>
      </c>
      <c r="S648" s="1097">
        <v>1</v>
      </c>
      <c r="T648" s="1071" t="s">
        <v>689</v>
      </c>
      <c r="U648" s="1080">
        <f t="shared" si="59"/>
        <v>100000</v>
      </c>
    </row>
    <row r="649" spans="1:21" ht="21.75" hidden="1" customHeight="1">
      <c r="A649" s="1160"/>
      <c r="B649" s="606"/>
      <c r="C649" s="606"/>
      <c r="D649" s="738"/>
      <c r="E649" s="608"/>
      <c r="F649" s="609"/>
      <c r="G649" s="647"/>
      <c r="H649" s="642"/>
      <c r="I649" s="133"/>
      <c r="J649" s="131"/>
      <c r="K649" s="1040"/>
      <c r="L649" s="1377" t="s">
        <v>1042</v>
      </c>
      <c r="M649" s="1378"/>
      <c r="N649" s="1378"/>
      <c r="O649" s="1342">
        <v>2000000</v>
      </c>
      <c r="P649" s="1342"/>
      <c r="Q649" s="1342"/>
      <c r="R649" s="1069" t="s">
        <v>838</v>
      </c>
      <c r="S649" s="1097">
        <v>1</v>
      </c>
      <c r="T649" s="1071" t="s">
        <v>689</v>
      </c>
      <c r="U649" s="1080">
        <f t="shared" si="59"/>
        <v>2000000</v>
      </c>
    </row>
    <row r="650" spans="1:21" ht="21.75" customHeight="1">
      <c r="A650" s="1160"/>
      <c r="B650" s="606"/>
      <c r="C650" s="1012" t="s">
        <v>292</v>
      </c>
      <c r="D650" s="1186">
        <v>2100000</v>
      </c>
      <c r="E650" s="1014">
        <f t="shared" si="55"/>
        <v>4188800</v>
      </c>
      <c r="F650" s="1014">
        <f t="shared" si="51"/>
        <v>2088800</v>
      </c>
      <c r="G650" s="1015">
        <f t="shared" si="52"/>
        <v>99.466666666666669</v>
      </c>
      <c r="H650" s="1016">
        <f>시군구세출!F33+국도비세출!F53</f>
        <v>4188800</v>
      </c>
      <c r="I650" s="1167"/>
      <c r="J650" s="1017">
        <v>0</v>
      </c>
      <c r="K650" s="1168">
        <v>0</v>
      </c>
      <c r="L650" s="1375" t="s">
        <v>1037</v>
      </c>
      <c r="M650" s="1376"/>
      <c r="N650" s="1187"/>
      <c r="O650" s="1156"/>
      <c r="P650" s="1143"/>
      <c r="Q650" s="1142"/>
      <c r="R650" s="1144"/>
      <c r="S650" s="1142"/>
      <c r="T650" s="1145"/>
      <c r="U650" s="1164">
        <f>SUM(U651:U652)</f>
        <v>4188800</v>
      </c>
    </row>
    <row r="651" spans="1:21" ht="21.75" customHeight="1">
      <c r="A651" s="1160"/>
      <c r="B651" s="606"/>
      <c r="C651" s="606"/>
      <c r="D651" s="738"/>
      <c r="E651" s="608"/>
      <c r="F651" s="609"/>
      <c r="G651" s="647"/>
      <c r="H651" s="642"/>
      <c r="I651" s="133"/>
      <c r="J651" s="131"/>
      <c r="K651" s="1040"/>
      <c r="L651" s="1377" t="s">
        <v>1043</v>
      </c>
      <c r="M651" s="1378"/>
      <c r="N651" s="1378"/>
      <c r="O651" s="1342">
        <v>174900</v>
      </c>
      <c r="P651" s="1342"/>
      <c r="Q651" s="1342"/>
      <c r="R651" s="1069" t="s">
        <v>838</v>
      </c>
      <c r="S651" s="1097">
        <v>12</v>
      </c>
      <c r="T651" s="1071" t="s">
        <v>689</v>
      </c>
      <c r="U651" s="1080">
        <f t="shared" ref="U651:U652" si="60">O651*S651</f>
        <v>2098800</v>
      </c>
    </row>
    <row r="652" spans="1:21" ht="21.75" customHeight="1">
      <c r="A652" s="1160"/>
      <c r="B652" s="606"/>
      <c r="C652" s="606"/>
      <c r="D652" s="738"/>
      <c r="E652" s="608"/>
      <c r="F652" s="609"/>
      <c r="G652" s="647"/>
      <c r="H652" s="642"/>
      <c r="I652" s="133"/>
      <c r="J652" s="131"/>
      <c r="K652" s="1040"/>
      <c r="L652" s="1377" t="s">
        <v>1044</v>
      </c>
      <c r="M652" s="1378"/>
      <c r="N652" s="1378"/>
      <c r="O652" s="1342">
        <v>2090000</v>
      </c>
      <c r="P652" s="1342"/>
      <c r="Q652" s="1342"/>
      <c r="R652" s="1069" t="s">
        <v>838</v>
      </c>
      <c r="S652" s="1097">
        <v>1</v>
      </c>
      <c r="T652" s="1071" t="s">
        <v>689</v>
      </c>
      <c r="U652" s="1080">
        <f t="shared" si="60"/>
        <v>2090000</v>
      </c>
    </row>
    <row r="653" spans="1:21" ht="21.75" customHeight="1">
      <c r="A653" s="1160"/>
      <c r="B653" s="614" t="s">
        <v>293</v>
      </c>
      <c r="C653" s="614" t="s">
        <v>94</v>
      </c>
      <c r="D653" s="1161">
        <f>D654</f>
        <v>1500000</v>
      </c>
      <c r="E653" s="1161">
        <f>E654</f>
        <v>2820000</v>
      </c>
      <c r="F653" s="615">
        <f>E653-D653</f>
        <v>1320000</v>
      </c>
      <c r="G653" s="1159">
        <f>F653/D653*100</f>
        <v>88</v>
      </c>
      <c r="H653" s="643">
        <f>H654</f>
        <v>0</v>
      </c>
      <c r="I653" s="616">
        <f t="shared" ref="I653:K653" si="61">I654</f>
        <v>0</v>
      </c>
      <c r="J653" s="616">
        <f t="shared" si="61"/>
        <v>0</v>
      </c>
      <c r="K653" s="1038">
        <f t="shared" si="61"/>
        <v>2820000</v>
      </c>
      <c r="L653" s="1006" t="s">
        <v>1046</v>
      </c>
      <c r="M653" s="1003"/>
      <c r="N653" s="1003"/>
      <c r="O653" s="632"/>
      <c r="P653" s="632"/>
      <c r="Q653" s="632"/>
      <c r="R653" s="632"/>
      <c r="S653" s="632"/>
      <c r="T653" s="632"/>
      <c r="U653" s="1124">
        <f>U654</f>
        <v>2820000</v>
      </c>
    </row>
    <row r="654" spans="1:21" ht="21.75" customHeight="1">
      <c r="A654" s="1160"/>
      <c r="B654" s="606"/>
      <c r="C654" s="1012" t="s">
        <v>294</v>
      </c>
      <c r="D654" s="1186">
        <v>1500000</v>
      </c>
      <c r="E654" s="1014">
        <f t="shared" si="55"/>
        <v>2820000</v>
      </c>
      <c r="F654" s="1014">
        <f t="shared" si="51"/>
        <v>1320000</v>
      </c>
      <c r="G654" s="1015">
        <f t="shared" si="52"/>
        <v>88</v>
      </c>
      <c r="H654" s="1166"/>
      <c r="I654" s="1167">
        <f>I656</f>
        <v>0</v>
      </c>
      <c r="J654" s="1167">
        <v>0</v>
      </c>
      <c r="K654" s="1168">
        <f>후원금세출!F88</f>
        <v>2820000</v>
      </c>
      <c r="L654" s="1189" t="s">
        <v>1053</v>
      </c>
      <c r="M654" s="1187"/>
      <c r="N654" s="1187"/>
      <c r="O654" s="1156"/>
      <c r="P654" s="1143"/>
      <c r="Q654" s="1142"/>
      <c r="R654" s="1144"/>
      <c r="S654" s="1142"/>
      <c r="T654" s="1145"/>
      <c r="U654" s="1164">
        <f>U655</f>
        <v>2820000</v>
      </c>
    </row>
    <row r="655" spans="1:21" ht="21.75" customHeight="1">
      <c r="A655" s="1160"/>
      <c r="B655" s="606"/>
      <c r="C655" s="606"/>
      <c r="D655" s="738"/>
      <c r="E655" s="608"/>
      <c r="F655" s="609"/>
      <c r="G655" s="647"/>
      <c r="H655" s="645"/>
      <c r="I655" s="133"/>
      <c r="J655" s="133"/>
      <c r="K655" s="1040"/>
      <c r="L655" s="1377" t="s">
        <v>1045</v>
      </c>
      <c r="M655" s="1378"/>
      <c r="N655" s="1378"/>
      <c r="O655" s="1342">
        <f>2820000/12</f>
        <v>235000</v>
      </c>
      <c r="P655" s="1342"/>
      <c r="Q655" s="1342"/>
      <c r="R655" s="1069" t="s">
        <v>838</v>
      </c>
      <c r="S655" s="1097">
        <v>12</v>
      </c>
      <c r="T655" s="1071" t="s">
        <v>689</v>
      </c>
      <c r="U655" s="1080">
        <f t="shared" ref="U655" si="62">O655*S655</f>
        <v>2820000</v>
      </c>
    </row>
    <row r="656" spans="1:21" ht="21.75" customHeight="1">
      <c r="A656" s="1162" t="s">
        <v>295</v>
      </c>
      <c r="B656" s="628" t="s">
        <v>92</v>
      </c>
      <c r="C656" s="628"/>
      <c r="D656" s="743">
        <f>D657</f>
        <v>800000</v>
      </c>
      <c r="E656" s="743">
        <f>E657</f>
        <v>1040105</v>
      </c>
      <c r="F656" s="624">
        <f>E656-D656</f>
        <v>240105</v>
      </c>
      <c r="G656" s="1158">
        <f>F656/D656*100</f>
        <v>30.013125000000002</v>
      </c>
      <c r="H656" s="646">
        <f>H657</f>
        <v>0</v>
      </c>
      <c r="I656" s="132">
        <f t="shared" ref="I656:K667" si="63">I657</f>
        <v>0</v>
      </c>
      <c r="J656" s="132">
        <f t="shared" si="63"/>
        <v>0</v>
      </c>
      <c r="K656" s="1041">
        <f t="shared" si="63"/>
        <v>1040105</v>
      </c>
      <c r="L656" s="1062" t="s">
        <v>1068</v>
      </c>
      <c r="M656" s="1004"/>
      <c r="N656" s="1004"/>
      <c r="O656" s="635"/>
      <c r="P656" s="635"/>
      <c r="Q656" s="635"/>
      <c r="R656" s="635"/>
      <c r="S656" s="635"/>
      <c r="T656" s="635"/>
      <c r="U656" s="1125">
        <f>U657</f>
        <v>1040105</v>
      </c>
    </row>
    <row r="657" spans="1:21" ht="21.75" customHeight="1">
      <c r="A657" s="1160"/>
      <c r="B657" s="614" t="s">
        <v>295</v>
      </c>
      <c r="C657" s="614" t="s">
        <v>94</v>
      </c>
      <c r="D657" s="1161">
        <f>D658</f>
        <v>800000</v>
      </c>
      <c r="E657" s="1161">
        <f>E658</f>
        <v>1040105</v>
      </c>
      <c r="F657" s="615">
        <f>E657-D657</f>
        <v>240105</v>
      </c>
      <c r="G657" s="1159">
        <f>F657/D657*100</f>
        <v>30.013125000000002</v>
      </c>
      <c r="H657" s="643">
        <f>H658</f>
        <v>0</v>
      </c>
      <c r="I657" s="616">
        <f t="shared" si="63"/>
        <v>0</v>
      </c>
      <c r="J657" s="616">
        <f t="shared" si="63"/>
        <v>0</v>
      </c>
      <c r="K657" s="1038">
        <f t="shared" si="63"/>
        <v>1040105</v>
      </c>
      <c r="L657" s="1006" t="s">
        <v>1068</v>
      </c>
      <c r="M657" s="1003"/>
      <c r="N657" s="1003"/>
      <c r="O657" s="632"/>
      <c r="P657" s="632"/>
      <c r="Q657" s="632"/>
      <c r="R657" s="632"/>
      <c r="S657" s="632"/>
      <c r="T657" s="632"/>
      <c r="U657" s="1124">
        <f>U658</f>
        <v>1040105</v>
      </c>
    </row>
    <row r="658" spans="1:21" ht="21.75" customHeight="1">
      <c r="A658" s="1160"/>
      <c r="B658" s="606"/>
      <c r="C658" s="1012" t="s">
        <v>295</v>
      </c>
      <c r="D658" s="1186">
        <v>800000</v>
      </c>
      <c r="E658" s="1014">
        <f t="shared" ref="E658" si="64">SUM(H658:K658)</f>
        <v>1040105</v>
      </c>
      <c r="F658" s="1014">
        <f t="shared" ref="F658" si="65">E658-D658</f>
        <v>240105</v>
      </c>
      <c r="G658" s="1015">
        <f t="shared" ref="G658" si="66">F658/D658*100</f>
        <v>30.013125000000002</v>
      </c>
      <c r="H658" s="1166">
        <v>0</v>
      </c>
      <c r="I658" s="1167">
        <f>I662</f>
        <v>0</v>
      </c>
      <c r="J658" s="1167">
        <v>0</v>
      </c>
      <c r="K658" s="1168">
        <f>후원금세출!F91</f>
        <v>1040105</v>
      </c>
      <c r="L658" s="1189" t="s">
        <v>1047</v>
      </c>
      <c r="M658" s="1187"/>
      <c r="N658" s="1187"/>
      <c r="O658" s="1156"/>
      <c r="P658" s="1143"/>
      <c r="Q658" s="1142"/>
      <c r="R658" s="1144"/>
      <c r="S658" s="1142"/>
      <c r="T658" s="1145"/>
      <c r="U658" s="1164">
        <f>SUM(U659:U661)</f>
        <v>1040105</v>
      </c>
    </row>
    <row r="659" spans="1:21" ht="21.75" customHeight="1">
      <c r="A659" s="1160"/>
      <c r="B659" s="606"/>
      <c r="C659" s="606"/>
      <c r="D659" s="738"/>
      <c r="E659" s="608"/>
      <c r="F659" s="609"/>
      <c r="G659" s="647"/>
      <c r="H659" s="645"/>
      <c r="I659" s="133"/>
      <c r="J659" s="133"/>
      <c r="K659" s="1040"/>
      <c r="L659" s="1377" t="s">
        <v>1050</v>
      </c>
      <c r="M659" s="1378"/>
      <c r="N659" s="1378"/>
      <c r="O659" s="1342">
        <v>396000</v>
      </c>
      <c r="P659" s="1342"/>
      <c r="Q659" s="1342"/>
      <c r="R659" s="1069" t="s">
        <v>838</v>
      </c>
      <c r="S659" s="1097">
        <v>1</v>
      </c>
      <c r="T659" s="1071" t="s">
        <v>689</v>
      </c>
      <c r="U659" s="1080">
        <f t="shared" ref="U659:U661" si="67">O659*S659</f>
        <v>396000</v>
      </c>
    </row>
    <row r="660" spans="1:21" ht="21.75" customHeight="1">
      <c r="A660" s="1160"/>
      <c r="B660" s="606"/>
      <c r="C660" s="606"/>
      <c r="D660" s="738"/>
      <c r="E660" s="608"/>
      <c r="F660" s="609"/>
      <c r="G660" s="647"/>
      <c r="H660" s="645"/>
      <c r="I660" s="133"/>
      <c r="J660" s="133"/>
      <c r="K660" s="1040"/>
      <c r="L660" s="1377" t="s">
        <v>1051</v>
      </c>
      <c r="M660" s="1378"/>
      <c r="N660" s="1378"/>
      <c r="O660" s="1342">
        <v>424985</v>
      </c>
      <c r="P660" s="1342"/>
      <c r="Q660" s="1342"/>
      <c r="R660" s="1069" t="s">
        <v>838</v>
      </c>
      <c r="S660" s="1097">
        <v>1</v>
      </c>
      <c r="T660" s="1071" t="s">
        <v>689</v>
      </c>
      <c r="U660" s="1080">
        <f t="shared" si="67"/>
        <v>424985</v>
      </c>
    </row>
    <row r="661" spans="1:21" ht="21.75" customHeight="1">
      <c r="A661" s="1160"/>
      <c r="B661" s="606"/>
      <c r="C661" s="606"/>
      <c r="D661" s="738"/>
      <c r="E661" s="608"/>
      <c r="F661" s="609"/>
      <c r="G661" s="647"/>
      <c r="H661" s="645"/>
      <c r="I661" s="133"/>
      <c r="J661" s="133"/>
      <c r="K661" s="1040"/>
      <c r="L661" s="1377" t="s">
        <v>1052</v>
      </c>
      <c r="M661" s="1378"/>
      <c r="N661" s="1378"/>
      <c r="O661" s="1342">
        <v>219120</v>
      </c>
      <c r="P661" s="1342"/>
      <c r="Q661" s="1342"/>
      <c r="R661" s="1069" t="s">
        <v>838</v>
      </c>
      <c r="S661" s="1097">
        <v>1</v>
      </c>
      <c r="T661" s="1071" t="s">
        <v>689</v>
      </c>
      <c r="U661" s="1080">
        <f t="shared" si="67"/>
        <v>219120</v>
      </c>
    </row>
    <row r="662" spans="1:21" ht="21.75" customHeight="1">
      <c r="A662" s="1162" t="s">
        <v>138</v>
      </c>
      <c r="B662" s="628" t="s">
        <v>92</v>
      </c>
      <c r="C662" s="628"/>
      <c r="D662" s="743">
        <f>D663</f>
        <v>609180</v>
      </c>
      <c r="E662" s="743">
        <f>E663</f>
        <v>615340</v>
      </c>
      <c r="F662" s="624">
        <f>E662-D662</f>
        <v>6160</v>
      </c>
      <c r="G662" s="1158">
        <f>F662/D662*100</f>
        <v>1.0111953773925604</v>
      </c>
      <c r="H662" s="646">
        <f>H663</f>
        <v>615340</v>
      </c>
      <c r="I662" s="132">
        <f t="shared" ref="I662:J663" si="68">I663</f>
        <v>0</v>
      </c>
      <c r="J662" s="132">
        <f t="shared" si="68"/>
        <v>0</v>
      </c>
      <c r="K662" s="1041">
        <f t="shared" si="63"/>
        <v>0</v>
      </c>
      <c r="L662" s="1062" t="s">
        <v>1067</v>
      </c>
      <c r="M662" s="1004"/>
      <c r="N662" s="1004"/>
      <c r="O662" s="635"/>
      <c r="P662" s="635"/>
      <c r="Q662" s="635"/>
      <c r="R662" s="635"/>
      <c r="S662" s="635"/>
      <c r="T662" s="635"/>
      <c r="U662" s="1125">
        <f>U663</f>
        <v>615340</v>
      </c>
    </row>
    <row r="663" spans="1:21" ht="21.75" customHeight="1">
      <c r="A663" s="1160"/>
      <c r="B663" s="614" t="s">
        <v>138</v>
      </c>
      <c r="C663" s="614" t="s">
        <v>94</v>
      </c>
      <c r="D663" s="1161">
        <f>D664</f>
        <v>609180</v>
      </c>
      <c r="E663" s="1161">
        <f>E664</f>
        <v>615340</v>
      </c>
      <c r="F663" s="615">
        <f>E663-D663</f>
        <v>6160</v>
      </c>
      <c r="G663" s="1159">
        <f>F663/D663*100</f>
        <v>1.0111953773925604</v>
      </c>
      <c r="H663" s="643">
        <f>H664</f>
        <v>615340</v>
      </c>
      <c r="I663" s="616">
        <f t="shared" si="68"/>
        <v>0</v>
      </c>
      <c r="J663" s="616">
        <f t="shared" si="68"/>
        <v>0</v>
      </c>
      <c r="K663" s="1038">
        <f t="shared" si="63"/>
        <v>0</v>
      </c>
      <c r="L663" s="1006" t="s">
        <v>1067</v>
      </c>
      <c r="M663" s="1003"/>
      <c r="N663" s="1003"/>
      <c r="O663" s="632"/>
      <c r="P663" s="632"/>
      <c r="Q663" s="632"/>
      <c r="R663" s="632"/>
      <c r="S663" s="632"/>
      <c r="T663" s="632"/>
      <c r="U663" s="1124">
        <f>U664</f>
        <v>615340</v>
      </c>
    </row>
    <row r="664" spans="1:21" ht="21.75" customHeight="1">
      <c r="A664" s="1160"/>
      <c r="B664" s="606"/>
      <c r="C664" s="1012" t="s">
        <v>138</v>
      </c>
      <c r="D664" s="1186">
        <v>609180</v>
      </c>
      <c r="E664" s="1014">
        <f t="shared" ref="E664" si="69">SUM(H664:K664)</f>
        <v>615340</v>
      </c>
      <c r="F664" s="1014">
        <f t="shared" ref="F664" si="70">E664-D664</f>
        <v>6160</v>
      </c>
      <c r="G664" s="1015">
        <f t="shared" ref="G664" si="71">F664/D664*100</f>
        <v>1.0111953773925604</v>
      </c>
      <c r="H664" s="1166">
        <v>615340</v>
      </c>
      <c r="I664" s="1167"/>
      <c r="J664" s="1167"/>
      <c r="K664" s="1168">
        <f>K666</f>
        <v>0</v>
      </c>
      <c r="L664" s="1189" t="s">
        <v>1048</v>
      </c>
      <c r="M664" s="1187"/>
      <c r="N664" s="1187"/>
      <c r="O664" s="1156"/>
      <c r="P664" s="1143"/>
      <c r="Q664" s="1142"/>
      <c r="R664" s="1144"/>
      <c r="S664" s="1142"/>
      <c r="T664" s="1145"/>
      <c r="U664" s="1136">
        <f>U665</f>
        <v>615340</v>
      </c>
    </row>
    <row r="665" spans="1:21" ht="21.75" customHeight="1">
      <c r="A665" s="1160"/>
      <c r="B665" s="606"/>
      <c r="C665" s="606"/>
      <c r="D665" s="738"/>
      <c r="E665" s="608"/>
      <c r="F665" s="609"/>
      <c r="G665" s="647"/>
      <c r="H665" s="645"/>
      <c r="I665" s="133"/>
      <c r="J665" s="133"/>
      <c r="K665" s="1040"/>
      <c r="L665" s="1377" t="s">
        <v>138</v>
      </c>
      <c r="M665" s="1378"/>
      <c r="N665" s="1378"/>
      <c r="O665" s="1342">
        <v>615340</v>
      </c>
      <c r="P665" s="1342"/>
      <c r="Q665" s="1342"/>
      <c r="R665" s="1069" t="s">
        <v>838</v>
      </c>
      <c r="S665" s="1097">
        <v>1</v>
      </c>
      <c r="T665" s="1071" t="s">
        <v>689</v>
      </c>
      <c r="U665" s="1121">
        <f t="shared" ref="U665" si="72">O665*S665</f>
        <v>615340</v>
      </c>
    </row>
    <row r="666" spans="1:21" ht="21.75" customHeight="1">
      <c r="A666" s="1162" t="s">
        <v>139</v>
      </c>
      <c r="B666" s="628" t="s">
        <v>92</v>
      </c>
      <c r="C666" s="628"/>
      <c r="D666" s="743">
        <f>D667</f>
        <v>31287000</v>
      </c>
      <c r="E666" s="743">
        <f>E667</f>
        <v>8513190</v>
      </c>
      <c r="F666" s="624">
        <f>E666-D666</f>
        <v>-22773810</v>
      </c>
      <c r="G666" s="1158">
        <f>F666/D666*100</f>
        <v>-72.790008629782335</v>
      </c>
      <c r="H666" s="646">
        <f>H667</f>
        <v>8513190</v>
      </c>
      <c r="I666" s="132">
        <f t="shared" ref="I666:J667" si="73">I667</f>
        <v>0</v>
      </c>
      <c r="J666" s="132">
        <f t="shared" si="73"/>
        <v>0</v>
      </c>
      <c r="K666" s="1041">
        <f t="shared" si="63"/>
        <v>0</v>
      </c>
      <c r="L666" s="1148" t="s">
        <v>1066</v>
      </c>
      <c r="M666" s="636"/>
      <c r="N666" s="636"/>
      <c r="O666" s="635"/>
      <c r="P666" s="635"/>
      <c r="Q666" s="635"/>
      <c r="R666" s="635"/>
      <c r="S666" s="635"/>
      <c r="T666" s="635"/>
      <c r="U666" s="1125">
        <f>U667</f>
        <v>8513190</v>
      </c>
    </row>
    <row r="667" spans="1:21" ht="21.75" customHeight="1">
      <c r="A667" s="1160"/>
      <c r="B667" s="614" t="s">
        <v>139</v>
      </c>
      <c r="C667" s="614" t="s">
        <v>94</v>
      </c>
      <c r="D667" s="1161">
        <f>D668</f>
        <v>31287000</v>
      </c>
      <c r="E667" s="1161">
        <f>E668</f>
        <v>8513190</v>
      </c>
      <c r="F667" s="615">
        <f>E667-D667</f>
        <v>-22773810</v>
      </c>
      <c r="G667" s="1159">
        <f>F667/D667*100</f>
        <v>-72.790008629782335</v>
      </c>
      <c r="H667" s="878">
        <f>H668</f>
        <v>8513190</v>
      </c>
      <c r="I667" s="634">
        <f t="shared" si="73"/>
        <v>0</v>
      </c>
      <c r="J667" s="634">
        <f t="shared" si="73"/>
        <v>0</v>
      </c>
      <c r="K667" s="1038">
        <f t="shared" si="63"/>
        <v>0</v>
      </c>
      <c r="L667" s="1149" t="s">
        <v>1066</v>
      </c>
      <c r="M667" s="637"/>
      <c r="N667" s="637"/>
      <c r="O667" s="632"/>
      <c r="P667" s="632"/>
      <c r="Q667" s="632"/>
      <c r="R667" s="632"/>
      <c r="S667" s="632"/>
      <c r="T667" s="632"/>
      <c r="U667" s="1124">
        <f>U668</f>
        <v>8513190</v>
      </c>
    </row>
    <row r="668" spans="1:21" ht="21.75" customHeight="1">
      <c r="A668" s="1160"/>
      <c r="B668" s="606"/>
      <c r="C668" s="1012" t="s">
        <v>296</v>
      </c>
      <c r="D668" s="1186">
        <v>31287000</v>
      </c>
      <c r="E668" s="1014">
        <f t="shared" ref="E668" si="74">SUM(H668:K668)</f>
        <v>8513190</v>
      </c>
      <c r="F668" s="1014">
        <f t="shared" ref="F668" si="75">E668-D668</f>
        <v>-22773810</v>
      </c>
      <c r="G668" s="1015">
        <f t="shared" ref="G668" si="76">F668/D668*100</f>
        <v>-72.790008629782335</v>
      </c>
      <c r="H668" s="1166">
        <f>국도비세출!F61+시군구세출!F39</f>
        <v>8513190</v>
      </c>
      <c r="I668" s="1167"/>
      <c r="J668" s="1167"/>
      <c r="K668" s="1168"/>
      <c r="L668" s="1189" t="s">
        <v>1049</v>
      </c>
      <c r="M668" s="1187"/>
      <c r="N668" s="1187"/>
      <c r="O668" s="1156"/>
      <c r="P668" s="1143"/>
      <c r="Q668" s="1142"/>
      <c r="R668" s="1144"/>
      <c r="S668" s="1142"/>
      <c r="T668" s="1145"/>
      <c r="U668" s="1136">
        <f>SUM(U669:U680)</f>
        <v>8513190</v>
      </c>
    </row>
    <row r="669" spans="1:21" ht="21.75" customHeight="1">
      <c r="A669" s="1160"/>
      <c r="B669" s="737"/>
      <c r="C669" s="606"/>
      <c r="D669" s="738"/>
      <c r="E669" s="608"/>
      <c r="F669" s="609"/>
      <c r="G669" s="647"/>
      <c r="H669" s="645"/>
      <c r="I669" s="133"/>
      <c r="J669" s="133"/>
      <c r="K669" s="1040"/>
      <c r="L669" s="1377" t="s">
        <v>1054</v>
      </c>
      <c r="M669" s="1378"/>
      <c r="N669" s="1378"/>
      <c r="O669" s="1342">
        <v>5003680</v>
      </c>
      <c r="P669" s="1342"/>
      <c r="Q669" s="1342"/>
      <c r="R669" s="1069" t="s">
        <v>838</v>
      </c>
      <c r="S669" s="1097">
        <v>1</v>
      </c>
      <c r="T669" s="1071" t="s">
        <v>689</v>
      </c>
      <c r="U669" s="1121">
        <f t="shared" ref="U669:U680" si="77">O669*S669</f>
        <v>5003680</v>
      </c>
    </row>
    <row r="670" spans="1:21" ht="21.75" customHeight="1">
      <c r="A670" s="1195"/>
      <c r="B670" s="1196"/>
      <c r="C670" s="1197"/>
      <c r="D670" s="1198"/>
      <c r="E670" s="910"/>
      <c r="F670" s="1065"/>
      <c r="G670" s="1191"/>
      <c r="H670" s="645"/>
      <c r="I670" s="133"/>
      <c r="J670" s="133"/>
      <c r="K670" s="1040"/>
      <c r="L670" s="1377" t="s">
        <v>1055</v>
      </c>
      <c r="M670" s="1378"/>
      <c r="N670" s="1378"/>
      <c r="O670" s="1342">
        <v>162040</v>
      </c>
      <c r="P670" s="1342"/>
      <c r="Q670" s="1342"/>
      <c r="R670" s="1069" t="s">
        <v>838</v>
      </c>
      <c r="S670" s="1097">
        <v>1</v>
      </c>
      <c r="T670" s="1071" t="s">
        <v>689</v>
      </c>
      <c r="U670" s="1121">
        <f t="shared" si="77"/>
        <v>162040</v>
      </c>
    </row>
    <row r="671" spans="1:21" ht="21.75" customHeight="1">
      <c r="A671" s="1195"/>
      <c r="B671" s="1196"/>
      <c r="C671" s="1197"/>
      <c r="D671" s="1198"/>
      <c r="E671" s="910"/>
      <c r="F671" s="1065"/>
      <c r="G671" s="1191"/>
      <c r="H671" s="645"/>
      <c r="I671" s="133"/>
      <c r="J671" s="133"/>
      <c r="K671" s="1040"/>
      <c r="L671" s="1377" t="s">
        <v>1056</v>
      </c>
      <c r="M671" s="1378"/>
      <c r="N671" s="1378"/>
      <c r="O671" s="1342">
        <v>4280</v>
      </c>
      <c r="P671" s="1342"/>
      <c r="Q671" s="1342"/>
      <c r="R671" s="1069" t="s">
        <v>838</v>
      </c>
      <c r="S671" s="1097">
        <v>1</v>
      </c>
      <c r="T671" s="1071" t="s">
        <v>689</v>
      </c>
      <c r="U671" s="1121">
        <f t="shared" si="77"/>
        <v>4280</v>
      </c>
    </row>
    <row r="672" spans="1:21" ht="21.75" customHeight="1">
      <c r="A672" s="1195"/>
      <c r="B672" s="1196"/>
      <c r="C672" s="1197"/>
      <c r="D672" s="1198"/>
      <c r="E672" s="910"/>
      <c r="F672" s="1065"/>
      <c r="G672" s="1191"/>
      <c r="H672" s="645"/>
      <c r="I672" s="133"/>
      <c r="J672" s="133"/>
      <c r="K672" s="1040"/>
      <c r="L672" s="1377" t="s">
        <v>1057</v>
      </c>
      <c r="M672" s="1378"/>
      <c r="N672" s="1378"/>
      <c r="O672" s="1342">
        <v>1231470</v>
      </c>
      <c r="P672" s="1342"/>
      <c r="Q672" s="1342"/>
      <c r="R672" s="1069" t="s">
        <v>838</v>
      </c>
      <c r="S672" s="1097">
        <v>1</v>
      </c>
      <c r="T672" s="1071" t="s">
        <v>689</v>
      </c>
      <c r="U672" s="1121">
        <f t="shared" si="77"/>
        <v>1231470</v>
      </c>
    </row>
    <row r="673" spans="1:21" ht="21.75" customHeight="1">
      <c r="A673" s="1195"/>
      <c r="B673" s="1196"/>
      <c r="C673" s="1197"/>
      <c r="D673" s="1198"/>
      <c r="E673" s="910"/>
      <c r="F673" s="1065"/>
      <c r="G673" s="1191"/>
      <c r="H673" s="645"/>
      <c r="I673" s="133"/>
      <c r="J673" s="133"/>
      <c r="K673" s="1040"/>
      <c r="L673" s="1377" t="s">
        <v>1058</v>
      </c>
      <c r="M673" s="1378"/>
      <c r="N673" s="1378"/>
      <c r="O673" s="1342">
        <v>11940</v>
      </c>
      <c r="P673" s="1342"/>
      <c r="Q673" s="1342"/>
      <c r="R673" s="1069" t="s">
        <v>838</v>
      </c>
      <c r="S673" s="1097">
        <v>1</v>
      </c>
      <c r="T673" s="1071" t="s">
        <v>689</v>
      </c>
      <c r="U673" s="1121">
        <f t="shared" si="77"/>
        <v>11940</v>
      </c>
    </row>
    <row r="674" spans="1:21" ht="21.75" customHeight="1">
      <c r="A674" s="1195"/>
      <c r="B674" s="1196"/>
      <c r="C674" s="1197"/>
      <c r="D674" s="1198"/>
      <c r="E674" s="910"/>
      <c r="F674" s="1065"/>
      <c r="G674" s="1191"/>
      <c r="H674" s="645"/>
      <c r="I674" s="133"/>
      <c r="J674" s="133"/>
      <c r="K674" s="1040"/>
      <c r="L674" s="1377" t="s">
        <v>1059</v>
      </c>
      <c r="M674" s="1378"/>
      <c r="N674" s="1378"/>
      <c r="O674" s="1342">
        <v>40000</v>
      </c>
      <c r="P674" s="1342"/>
      <c r="Q674" s="1342"/>
      <c r="R674" s="1069" t="s">
        <v>838</v>
      </c>
      <c r="S674" s="1097">
        <v>1</v>
      </c>
      <c r="T674" s="1071" t="s">
        <v>689</v>
      </c>
      <c r="U674" s="1121">
        <f t="shared" si="77"/>
        <v>40000</v>
      </c>
    </row>
    <row r="675" spans="1:21" ht="21.75" customHeight="1">
      <c r="A675" s="1195"/>
      <c r="B675" s="1196"/>
      <c r="C675" s="1197"/>
      <c r="D675" s="1198"/>
      <c r="E675" s="910"/>
      <c r="F675" s="1065"/>
      <c r="G675" s="1191"/>
      <c r="H675" s="645"/>
      <c r="I675" s="133"/>
      <c r="J675" s="133"/>
      <c r="K675" s="1040"/>
      <c r="L675" s="1377" t="s">
        <v>1060</v>
      </c>
      <c r="M675" s="1378"/>
      <c r="N675" s="1378"/>
      <c r="O675" s="1342">
        <v>6190</v>
      </c>
      <c r="P675" s="1342"/>
      <c r="Q675" s="1342"/>
      <c r="R675" s="1069" t="s">
        <v>838</v>
      </c>
      <c r="S675" s="1097">
        <v>1</v>
      </c>
      <c r="T675" s="1071" t="s">
        <v>689</v>
      </c>
      <c r="U675" s="1121">
        <f t="shared" si="77"/>
        <v>6190</v>
      </c>
    </row>
    <row r="676" spans="1:21" ht="21.75" customHeight="1">
      <c r="A676" s="1195"/>
      <c r="B676" s="1196"/>
      <c r="C676" s="1197"/>
      <c r="D676" s="1198"/>
      <c r="E676" s="910"/>
      <c r="F676" s="1065"/>
      <c r="G676" s="1191"/>
      <c r="H676" s="733"/>
      <c r="I676" s="731"/>
      <c r="J676" s="731"/>
      <c r="K676" s="1191"/>
      <c r="L676" s="1377" t="s">
        <v>1061</v>
      </c>
      <c r="M676" s="1378"/>
      <c r="N676" s="1378"/>
      <c r="O676" s="1342">
        <v>3400</v>
      </c>
      <c r="P676" s="1342"/>
      <c r="Q676" s="1342"/>
      <c r="R676" s="1069" t="s">
        <v>838</v>
      </c>
      <c r="S676" s="1097">
        <v>1</v>
      </c>
      <c r="T676" s="1071" t="s">
        <v>689</v>
      </c>
      <c r="U676" s="1121">
        <f t="shared" si="77"/>
        <v>3400</v>
      </c>
    </row>
    <row r="677" spans="1:21" ht="21.75" customHeight="1">
      <c r="A677" s="1195"/>
      <c r="B677" s="1196"/>
      <c r="C677" s="1197"/>
      <c r="D677" s="1198"/>
      <c r="E677" s="910"/>
      <c r="F677" s="1065"/>
      <c r="G677" s="1191"/>
      <c r="H677" s="733"/>
      <c r="I677" s="731"/>
      <c r="J677" s="731"/>
      <c r="K677" s="1191"/>
      <c r="L677" s="1377" t="s">
        <v>1062</v>
      </c>
      <c r="M677" s="1378"/>
      <c r="N677" s="1378"/>
      <c r="O677" s="1342">
        <v>1690580</v>
      </c>
      <c r="P677" s="1342"/>
      <c r="Q677" s="1342"/>
      <c r="R677" s="1069" t="s">
        <v>838</v>
      </c>
      <c r="S677" s="1097">
        <v>1</v>
      </c>
      <c r="T677" s="1071" t="s">
        <v>689</v>
      </c>
      <c r="U677" s="1121">
        <f t="shared" si="77"/>
        <v>1690580</v>
      </c>
    </row>
    <row r="678" spans="1:21" ht="21.75" customHeight="1">
      <c r="A678" s="1195"/>
      <c r="B678" s="1196"/>
      <c r="C678" s="1197"/>
      <c r="D678" s="1198"/>
      <c r="E678" s="910"/>
      <c r="F678" s="1065"/>
      <c r="G678" s="1191"/>
      <c r="H678" s="733"/>
      <c r="I678" s="731"/>
      <c r="J678" s="731"/>
      <c r="K678" s="1191"/>
      <c r="L678" s="1377" t="s">
        <v>1063</v>
      </c>
      <c r="M678" s="1378"/>
      <c r="N678" s="1378"/>
      <c r="O678" s="1342">
        <v>4460</v>
      </c>
      <c r="P678" s="1342"/>
      <c r="Q678" s="1342"/>
      <c r="R678" s="1069" t="s">
        <v>838</v>
      </c>
      <c r="S678" s="1097">
        <v>1</v>
      </c>
      <c r="T678" s="1071" t="s">
        <v>689</v>
      </c>
      <c r="U678" s="1121">
        <f t="shared" si="77"/>
        <v>4460</v>
      </c>
    </row>
    <row r="679" spans="1:21" ht="21.75" customHeight="1">
      <c r="A679" s="1195"/>
      <c r="B679" s="1196"/>
      <c r="C679" s="1197"/>
      <c r="D679" s="1198"/>
      <c r="E679" s="910"/>
      <c r="F679" s="1065"/>
      <c r="G679" s="1191"/>
      <c r="H679" s="733"/>
      <c r="I679" s="731"/>
      <c r="J679" s="731"/>
      <c r="K679" s="1191"/>
      <c r="L679" s="1377" t="s">
        <v>1064</v>
      </c>
      <c r="M679" s="1378"/>
      <c r="N679" s="1378"/>
      <c r="O679" s="1342">
        <v>341740</v>
      </c>
      <c r="P679" s="1342"/>
      <c r="Q679" s="1342"/>
      <c r="R679" s="1069" t="s">
        <v>838</v>
      </c>
      <c r="S679" s="1097">
        <v>1</v>
      </c>
      <c r="T679" s="1071" t="s">
        <v>689</v>
      </c>
      <c r="U679" s="1121">
        <f t="shared" si="77"/>
        <v>341740</v>
      </c>
    </row>
    <row r="680" spans="1:21" ht="21.75" customHeight="1">
      <c r="A680" s="1199"/>
      <c r="B680" s="1200"/>
      <c r="C680" s="1201"/>
      <c r="D680" s="1202"/>
      <c r="E680" s="1203"/>
      <c r="F680" s="1204"/>
      <c r="G680" s="1194"/>
      <c r="H680" s="1192"/>
      <c r="I680" s="1193"/>
      <c r="J680" s="1193"/>
      <c r="K680" s="1194"/>
      <c r="L680" s="1379" t="s">
        <v>1065</v>
      </c>
      <c r="M680" s="1380"/>
      <c r="N680" s="1380"/>
      <c r="O680" s="1381">
        <v>13410</v>
      </c>
      <c r="P680" s="1381"/>
      <c r="Q680" s="1381"/>
      <c r="R680" s="1184" t="s">
        <v>838</v>
      </c>
      <c r="S680" s="1190">
        <v>1</v>
      </c>
      <c r="T680" s="1185" t="s">
        <v>689</v>
      </c>
      <c r="U680" s="1183">
        <f t="shared" si="77"/>
        <v>13410</v>
      </c>
    </row>
    <row r="681" spans="1:21" ht="21.75" customHeight="1">
      <c r="A681" s="753"/>
      <c r="B681" s="754"/>
      <c r="C681" s="754"/>
      <c r="D681" s="640"/>
      <c r="E681" s="1173"/>
      <c r="F681" s="1174"/>
      <c r="G681" s="1175"/>
      <c r="H681" s="638"/>
      <c r="I681" s="638"/>
      <c r="J681" s="638"/>
      <c r="K681" s="638"/>
      <c r="L681" s="1176"/>
      <c r="M681" s="1177"/>
      <c r="N681" s="1177"/>
      <c r="O681" s="640"/>
      <c r="P681" s="1178"/>
      <c r="Q681" s="1179"/>
      <c r="R681" s="1180"/>
      <c r="S681" s="1179"/>
      <c r="T681" s="1181"/>
      <c r="U681" s="1182"/>
    </row>
    <row r="682" spans="1:21" ht="12.95" customHeight="1">
      <c r="H682" s="638"/>
      <c r="I682" s="638"/>
      <c r="J682" s="638"/>
      <c r="K682" s="638"/>
      <c r="L682" s="1150"/>
      <c r="M682" s="639"/>
      <c r="N682" s="639"/>
      <c r="O682" s="640"/>
      <c r="P682" s="640"/>
      <c r="Q682" s="640"/>
      <c r="R682" s="640"/>
      <c r="S682" s="640"/>
      <c r="T682" s="640"/>
      <c r="U682" s="1082"/>
    </row>
    <row r="683" spans="1:21" ht="12.95" customHeight="1">
      <c r="H683" s="638"/>
      <c r="I683" s="638"/>
      <c r="J683" s="638"/>
      <c r="K683" s="638"/>
      <c r="L683" s="1150"/>
      <c r="M683" s="639"/>
      <c r="N683" s="639"/>
      <c r="O683" s="640"/>
      <c r="P683" s="640"/>
      <c r="Q683" s="640"/>
      <c r="R683" s="640"/>
      <c r="S683" s="640"/>
      <c r="T683" s="640"/>
      <c r="U683" s="1082"/>
    </row>
    <row r="684" spans="1:21" ht="12.95" customHeight="1">
      <c r="H684" s="638"/>
      <c r="I684" s="638"/>
      <c r="J684" s="638"/>
      <c r="K684" s="638"/>
      <c r="L684" s="1150"/>
      <c r="M684" s="639"/>
      <c r="N684" s="639"/>
      <c r="O684" s="640"/>
      <c r="P684" s="640"/>
      <c r="Q684" s="640"/>
      <c r="R684" s="640"/>
      <c r="S684" s="640"/>
      <c r="T684" s="640"/>
      <c r="U684" s="1082"/>
    </row>
    <row r="685" spans="1:21" ht="12.95" customHeight="1">
      <c r="H685" s="638"/>
      <c r="I685" s="638"/>
      <c r="J685" s="638"/>
      <c r="K685" s="638"/>
      <c r="L685" s="1150"/>
      <c r="M685" s="639"/>
      <c r="N685" s="639"/>
      <c r="O685" s="640"/>
      <c r="P685" s="640"/>
      <c r="Q685" s="640"/>
      <c r="R685" s="640"/>
      <c r="S685" s="640"/>
      <c r="T685" s="640"/>
      <c r="U685" s="1082"/>
    </row>
    <row r="686" spans="1:21" ht="12.95" customHeight="1">
      <c r="H686" s="638"/>
      <c r="I686" s="638"/>
      <c r="J686" s="638"/>
      <c r="K686" s="638"/>
      <c r="L686" s="1150"/>
      <c r="M686" s="639"/>
      <c r="N686" s="639"/>
      <c r="O686" s="640"/>
      <c r="P686" s="640"/>
      <c r="Q686" s="640"/>
      <c r="R686" s="640"/>
      <c r="S686" s="640"/>
      <c r="T686" s="640"/>
      <c r="U686" s="1082"/>
    </row>
    <row r="687" spans="1:21" ht="12.95" customHeight="1">
      <c r="H687" s="638"/>
      <c r="I687" s="638"/>
      <c r="J687" s="638"/>
      <c r="K687" s="638"/>
      <c r="L687" s="1150"/>
      <c r="M687" s="639"/>
      <c r="N687" s="639"/>
      <c r="O687" s="640"/>
      <c r="P687" s="640"/>
      <c r="Q687" s="640"/>
      <c r="R687" s="640"/>
      <c r="S687" s="640"/>
      <c r="T687" s="640"/>
      <c r="U687" s="1082"/>
    </row>
  </sheetData>
  <mergeCells count="357">
    <mergeCell ref="L671:N671"/>
    <mergeCell ref="O671:Q671"/>
    <mergeCell ref="L672:N672"/>
    <mergeCell ref="O672:Q672"/>
    <mergeCell ref="L673:N673"/>
    <mergeCell ref="O673:Q673"/>
    <mergeCell ref="L674:N674"/>
    <mergeCell ref="O674:Q674"/>
    <mergeCell ref="L680:N680"/>
    <mergeCell ref="O680:Q680"/>
    <mergeCell ref="L675:N675"/>
    <mergeCell ref="O675:Q675"/>
    <mergeCell ref="L676:N676"/>
    <mergeCell ref="O676:Q676"/>
    <mergeCell ref="L677:N677"/>
    <mergeCell ref="O677:Q677"/>
    <mergeCell ref="L678:N678"/>
    <mergeCell ref="O678:Q678"/>
    <mergeCell ref="L679:N679"/>
    <mergeCell ref="O679:Q679"/>
    <mergeCell ref="L660:N660"/>
    <mergeCell ref="O660:Q660"/>
    <mergeCell ref="L661:N661"/>
    <mergeCell ref="O661:Q661"/>
    <mergeCell ref="L665:N665"/>
    <mergeCell ref="O665:Q665"/>
    <mergeCell ref="L669:N669"/>
    <mergeCell ref="O669:Q669"/>
    <mergeCell ref="L670:N670"/>
    <mergeCell ref="O670:Q670"/>
    <mergeCell ref="L651:N651"/>
    <mergeCell ref="O651:Q651"/>
    <mergeCell ref="L652:N652"/>
    <mergeCell ref="O652:Q652"/>
    <mergeCell ref="L655:N655"/>
    <mergeCell ref="O655:Q655"/>
    <mergeCell ref="L650:M650"/>
    <mergeCell ref="L659:N659"/>
    <mergeCell ref="O659:Q659"/>
    <mergeCell ref="L644:N644"/>
    <mergeCell ref="O644:Q644"/>
    <mergeCell ref="L645:N645"/>
    <mergeCell ref="O645:Q645"/>
    <mergeCell ref="O648:Q648"/>
    <mergeCell ref="L649:N649"/>
    <mergeCell ref="O649:Q649"/>
    <mergeCell ref="L647:N647"/>
    <mergeCell ref="O647:Q647"/>
    <mergeCell ref="L648:N648"/>
    <mergeCell ref="L631:N631"/>
    <mergeCell ref="O631:Q631"/>
    <mergeCell ref="L632:N632"/>
    <mergeCell ref="O632:Q632"/>
    <mergeCell ref="L633:N633"/>
    <mergeCell ref="O633:Q633"/>
    <mergeCell ref="L634:N634"/>
    <mergeCell ref="O634:Q634"/>
    <mergeCell ref="L646:M646"/>
    <mergeCell ref="L643:M643"/>
    <mergeCell ref="L637:M637"/>
    <mergeCell ref="L635:M635"/>
    <mergeCell ref="L636:N636"/>
    <mergeCell ref="O636:Q636"/>
    <mergeCell ref="L638:N638"/>
    <mergeCell ref="O638:Q638"/>
    <mergeCell ref="L639:N639"/>
    <mergeCell ref="O639:Q639"/>
    <mergeCell ref="L640:N640"/>
    <mergeCell ref="O640:Q640"/>
    <mergeCell ref="L641:N641"/>
    <mergeCell ref="O641:Q641"/>
    <mergeCell ref="L642:N642"/>
    <mergeCell ref="O642:Q642"/>
    <mergeCell ref="L616:M616"/>
    <mergeCell ref="L626:N626"/>
    <mergeCell ref="O626:Q626"/>
    <mergeCell ref="L627:N627"/>
    <mergeCell ref="O627:Q627"/>
    <mergeCell ref="L628:N628"/>
    <mergeCell ref="O628:Q628"/>
    <mergeCell ref="L629:N629"/>
    <mergeCell ref="O629:Q629"/>
    <mergeCell ref="L617:N617"/>
    <mergeCell ref="O617:Q617"/>
    <mergeCell ref="L618:N618"/>
    <mergeCell ref="O618:Q618"/>
    <mergeCell ref="L619:N619"/>
    <mergeCell ref="O619:Q619"/>
    <mergeCell ref="L620:N620"/>
    <mergeCell ref="O620:Q620"/>
    <mergeCell ref="L630:N630"/>
    <mergeCell ref="O630:Q630"/>
    <mergeCell ref="L621:N621"/>
    <mergeCell ref="O621:Q621"/>
    <mergeCell ref="L622:N622"/>
    <mergeCell ref="O622:Q622"/>
    <mergeCell ref="L623:N623"/>
    <mergeCell ref="O623:Q623"/>
    <mergeCell ref="L624:N624"/>
    <mergeCell ref="O624:Q624"/>
    <mergeCell ref="L625:N625"/>
    <mergeCell ref="O625:Q625"/>
    <mergeCell ref="L607:N607"/>
    <mergeCell ref="O607:Q607"/>
    <mergeCell ref="L608:N608"/>
    <mergeCell ref="O608:Q608"/>
    <mergeCell ref="L609:N609"/>
    <mergeCell ref="O609:Q609"/>
    <mergeCell ref="L611:N611"/>
    <mergeCell ref="O611:Q611"/>
    <mergeCell ref="L613:N613"/>
    <mergeCell ref="O613:Q613"/>
    <mergeCell ref="L604:N604"/>
    <mergeCell ref="O604:Q604"/>
    <mergeCell ref="L601:N601"/>
    <mergeCell ref="L602:N602"/>
    <mergeCell ref="L603:N603"/>
    <mergeCell ref="O601:Q601"/>
    <mergeCell ref="O602:Q602"/>
    <mergeCell ref="O603:Q603"/>
    <mergeCell ref="L606:N606"/>
    <mergeCell ref="O606:Q606"/>
    <mergeCell ref="L555:N555"/>
    <mergeCell ref="O555:Q555"/>
    <mergeCell ref="L558:N558"/>
    <mergeCell ref="O558:Q558"/>
    <mergeCell ref="L563:N563"/>
    <mergeCell ref="L565:N565"/>
    <mergeCell ref="O565:Q565"/>
    <mergeCell ref="L596:N596"/>
    <mergeCell ref="O596:Q596"/>
    <mergeCell ref="L581:N581"/>
    <mergeCell ref="O581:Q581"/>
    <mergeCell ref="L582:N582"/>
    <mergeCell ref="O582:Q582"/>
    <mergeCell ref="L583:N583"/>
    <mergeCell ref="O583:Q583"/>
    <mergeCell ref="L584:N584"/>
    <mergeCell ref="O584:Q584"/>
    <mergeCell ref="L585:N585"/>
    <mergeCell ref="O585:Q585"/>
    <mergeCell ref="L586:N586"/>
    <mergeCell ref="O586:Q586"/>
    <mergeCell ref="L587:N587"/>
    <mergeCell ref="O587:Q587"/>
    <mergeCell ref="L560:N560"/>
    <mergeCell ref="M510:N510"/>
    <mergeCell ref="M511:N511"/>
    <mergeCell ref="O510:Q510"/>
    <mergeCell ref="O511:Q511"/>
    <mergeCell ref="M503:N503"/>
    <mergeCell ref="M504:N504"/>
    <mergeCell ref="M505:N505"/>
    <mergeCell ref="M506:N506"/>
    <mergeCell ref="M507:N507"/>
    <mergeCell ref="M508:N508"/>
    <mergeCell ref="M509:N509"/>
    <mergeCell ref="O503:Q503"/>
    <mergeCell ref="O509:Q509"/>
    <mergeCell ref="L540:N540"/>
    <mergeCell ref="O540:Q540"/>
    <mergeCell ref="L516:N516"/>
    <mergeCell ref="O516:Q516"/>
    <mergeCell ref="L534:N534"/>
    <mergeCell ref="O534:Q534"/>
    <mergeCell ref="L535:N535"/>
    <mergeCell ref="O535:Q535"/>
    <mergeCell ref="L536:N536"/>
    <mergeCell ref="O536:Q536"/>
    <mergeCell ref="L537:N537"/>
    <mergeCell ref="O537:Q537"/>
    <mergeCell ref="O529:Q529"/>
    <mergeCell ref="L530:N530"/>
    <mergeCell ref="O530:Q530"/>
    <mergeCell ref="L531:N531"/>
    <mergeCell ref="O531:Q531"/>
    <mergeCell ref="L532:N532"/>
    <mergeCell ref="O532:Q532"/>
    <mergeCell ref="L525:N525"/>
    <mergeCell ref="O525:Q525"/>
    <mergeCell ref="L526:N526"/>
    <mergeCell ref="O526:Q526"/>
    <mergeCell ref="L527:N527"/>
    <mergeCell ref="O527:Q527"/>
    <mergeCell ref="L528:N528"/>
    <mergeCell ref="O528:Q528"/>
    <mergeCell ref="L529:N529"/>
    <mergeCell ref="L522:N522"/>
    <mergeCell ref="M512:N512"/>
    <mergeCell ref="M513:N513"/>
    <mergeCell ref="O512:Q512"/>
    <mergeCell ref="O513:Q513"/>
    <mergeCell ref="O515:Q515"/>
    <mergeCell ref="L517:N517"/>
    <mergeCell ref="O517:Q517"/>
    <mergeCell ref="L524:N524"/>
    <mergeCell ref="O524:Q524"/>
    <mergeCell ref="O522:Q522"/>
    <mergeCell ref="L523:N523"/>
    <mergeCell ref="O523:Q523"/>
    <mergeCell ref="L521:N521"/>
    <mergeCell ref="O521:Q521"/>
    <mergeCell ref="A6:C6"/>
    <mergeCell ref="L9:N9"/>
    <mergeCell ref="A2:U2"/>
    <mergeCell ref="A4:C4"/>
    <mergeCell ref="D4:D5"/>
    <mergeCell ref="E4:E5"/>
    <mergeCell ref="F4:F5"/>
    <mergeCell ref="G4:G5"/>
    <mergeCell ref="L4:U5"/>
    <mergeCell ref="H4:K4"/>
    <mergeCell ref="M491:N491"/>
    <mergeCell ref="O487:Q487"/>
    <mergeCell ref="O488:Q488"/>
    <mergeCell ref="O489:Q489"/>
    <mergeCell ref="O490:Q490"/>
    <mergeCell ref="O491:Q491"/>
    <mergeCell ref="L135:N135"/>
    <mergeCell ref="O483:Q483"/>
    <mergeCell ref="L133:N133"/>
    <mergeCell ref="L486:N486"/>
    <mergeCell ref="L502:N502"/>
    <mergeCell ref="O484:Q484"/>
    <mergeCell ref="O485:Q485"/>
    <mergeCell ref="L136:N136"/>
    <mergeCell ref="L246:N246"/>
    <mergeCell ref="L469:N469"/>
    <mergeCell ref="L482:N482"/>
    <mergeCell ref="M487:N487"/>
    <mergeCell ref="M488:N488"/>
    <mergeCell ref="M489:N489"/>
    <mergeCell ref="M490:N490"/>
    <mergeCell ref="N419:T419"/>
    <mergeCell ref="L419:M419"/>
    <mergeCell ref="N297:T297"/>
    <mergeCell ref="L297:M297"/>
    <mergeCell ref="O502:Q502"/>
    <mergeCell ref="M492:N492"/>
    <mergeCell ref="M497:N497"/>
    <mergeCell ref="O492:Q492"/>
    <mergeCell ref="O497:Q497"/>
    <mergeCell ref="M500:N500"/>
    <mergeCell ref="M501:N501"/>
    <mergeCell ref="O499:Q499"/>
    <mergeCell ref="O500:Q500"/>
    <mergeCell ref="O501:Q501"/>
    <mergeCell ref="M496:N496"/>
    <mergeCell ref="O496:Q496"/>
    <mergeCell ref="M498:N498"/>
    <mergeCell ref="O498:Q498"/>
    <mergeCell ref="M499:N499"/>
    <mergeCell ref="M493:N493"/>
    <mergeCell ref="O493:Q493"/>
    <mergeCell ref="M494:N494"/>
    <mergeCell ref="O494:Q494"/>
    <mergeCell ref="M495:N495"/>
    <mergeCell ref="O495:Q495"/>
    <mergeCell ref="L533:N533"/>
    <mergeCell ref="O533:Q533"/>
    <mergeCell ref="O504:Q504"/>
    <mergeCell ref="O505:Q505"/>
    <mergeCell ref="O506:Q506"/>
    <mergeCell ref="O507:Q507"/>
    <mergeCell ref="O508:Q508"/>
    <mergeCell ref="L544:N544"/>
    <mergeCell ref="L545:N545"/>
    <mergeCell ref="L541:N541"/>
    <mergeCell ref="O541:Q541"/>
    <mergeCell ref="L542:N542"/>
    <mergeCell ref="O542:Q542"/>
    <mergeCell ref="L543:N543"/>
    <mergeCell ref="O543:Q543"/>
    <mergeCell ref="L539:N539"/>
    <mergeCell ref="O539:Q539"/>
    <mergeCell ref="O544:Q544"/>
    <mergeCell ref="L538:N538"/>
    <mergeCell ref="O538:Q538"/>
    <mergeCell ref="O545:Q545"/>
    <mergeCell ref="L520:N520"/>
    <mergeCell ref="O520:Q520"/>
    <mergeCell ref="L515:N515"/>
    <mergeCell ref="L554:N554"/>
    <mergeCell ref="O554:Q554"/>
    <mergeCell ref="L556:N556"/>
    <mergeCell ref="L557:N557"/>
    <mergeCell ref="O556:Q556"/>
    <mergeCell ref="O557:Q557"/>
    <mergeCell ref="L559:N559"/>
    <mergeCell ref="O559:Q559"/>
    <mergeCell ref="L546:N546"/>
    <mergeCell ref="O546:Q546"/>
    <mergeCell ref="L553:N553"/>
    <mergeCell ref="O553:Q553"/>
    <mergeCell ref="L548:N548"/>
    <mergeCell ref="L549:N549"/>
    <mergeCell ref="L550:N550"/>
    <mergeCell ref="L552:N552"/>
    <mergeCell ref="O548:Q548"/>
    <mergeCell ref="O549:Q549"/>
    <mergeCell ref="O550:Q550"/>
    <mergeCell ref="O551:Q551"/>
    <mergeCell ref="O552:Q552"/>
    <mergeCell ref="L551:N551"/>
    <mergeCell ref="L547:N547"/>
    <mergeCell ref="O547:Q547"/>
    <mergeCell ref="O560:Q560"/>
    <mergeCell ref="L564:N564"/>
    <mergeCell ref="O564:Q564"/>
    <mergeCell ref="L566:N566"/>
    <mergeCell ref="L567:N567"/>
    <mergeCell ref="L568:N568"/>
    <mergeCell ref="L569:N569"/>
    <mergeCell ref="L570:N570"/>
    <mergeCell ref="L571:N571"/>
    <mergeCell ref="L572:N572"/>
    <mergeCell ref="L573:N573"/>
    <mergeCell ref="L574:N574"/>
    <mergeCell ref="L575:N575"/>
    <mergeCell ref="L576:N576"/>
    <mergeCell ref="L579:N579"/>
    <mergeCell ref="O566:Q566"/>
    <mergeCell ref="O567:Q567"/>
    <mergeCell ref="O568:Q568"/>
    <mergeCell ref="O569:Q569"/>
    <mergeCell ref="O570:Q570"/>
    <mergeCell ref="O571:Q571"/>
    <mergeCell ref="O572:Q572"/>
    <mergeCell ref="O573:Q573"/>
    <mergeCell ref="O574:Q574"/>
    <mergeCell ref="O575:Q575"/>
    <mergeCell ref="O576:Q576"/>
    <mergeCell ref="O579:Q579"/>
    <mergeCell ref="L577:N577"/>
    <mergeCell ref="O577:Q577"/>
    <mergeCell ref="L578:N578"/>
    <mergeCell ref="O578:Q578"/>
    <mergeCell ref="L580:N580"/>
    <mergeCell ref="O580:Q580"/>
    <mergeCell ref="O600:Q600"/>
    <mergeCell ref="L600:N600"/>
    <mergeCell ref="L588:N588"/>
    <mergeCell ref="O588:Q588"/>
    <mergeCell ref="L589:N589"/>
    <mergeCell ref="O589:Q589"/>
    <mergeCell ref="L590:N590"/>
    <mergeCell ref="O590:Q590"/>
    <mergeCell ref="L591:N591"/>
    <mergeCell ref="O591:Q591"/>
    <mergeCell ref="L592:N592"/>
    <mergeCell ref="O592:Q592"/>
    <mergeCell ref="L593:N593"/>
    <mergeCell ref="O593:Q593"/>
    <mergeCell ref="L594:N594"/>
    <mergeCell ref="O594:Q594"/>
    <mergeCell ref="L595:N595"/>
    <mergeCell ref="O595:Q595"/>
  </mergeCells>
  <phoneticPr fontId="7" type="noConversion"/>
  <printOptions horizontalCentered="1"/>
  <pageMargins left="0.44" right="0.35433070866141736" top="0.70866141732283472" bottom="0.39370078740157483" header="0.59055118110236227" footer="0.35433070866141736"/>
  <pageSetup paperSize="9" scale="63" fitToHeight="0" orientation="landscape" horizontalDpi="4294967293" verticalDpi="4294967293" r:id="rId1"/>
  <headerFooter alignWithMargins="0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4"/>
  <sheetViews>
    <sheetView zoomScaleNormal="100" workbookViewId="0">
      <selection activeCell="D46" sqref="D46"/>
    </sheetView>
  </sheetViews>
  <sheetFormatPr defaultRowHeight="13.5"/>
  <cols>
    <col min="1" max="1" width="14.25" style="680" customWidth="1"/>
    <col min="2" max="2" width="18.75" style="834" customWidth="1"/>
    <col min="3" max="3" width="18.75" style="680" customWidth="1"/>
    <col min="4" max="4" width="20.625" style="680" customWidth="1"/>
    <col min="5" max="5" width="18.75" style="680" customWidth="1"/>
    <col min="6" max="6" width="13.75" style="680" customWidth="1"/>
    <col min="7" max="7" width="15.25" style="680" customWidth="1"/>
    <col min="8" max="16384" width="9" style="680"/>
  </cols>
  <sheetData>
    <row r="1" spans="1:7" ht="52.5" customHeight="1">
      <c r="A1" s="1386" t="s">
        <v>691</v>
      </c>
      <c r="B1" s="1387"/>
      <c r="C1" s="1387"/>
      <c r="D1" s="1387"/>
      <c r="E1" s="1387"/>
    </row>
    <row r="2" spans="1:7" ht="25.5" customHeight="1" thickBot="1">
      <c r="A2" s="833"/>
      <c r="E2" s="835" t="s">
        <v>298</v>
      </c>
    </row>
    <row r="3" spans="1:7" ht="24.75" customHeight="1" thickBot="1">
      <c r="A3" s="864" t="s">
        <v>692</v>
      </c>
      <c r="B3" s="1388" t="s">
        <v>693</v>
      </c>
      <c r="C3" s="1389"/>
      <c r="D3" s="1388" t="s">
        <v>694</v>
      </c>
      <c r="E3" s="1390"/>
    </row>
    <row r="4" spans="1:7" ht="24.75" customHeight="1">
      <c r="A4" s="864" t="s">
        <v>695</v>
      </c>
      <c r="B4" s="1391">
        <f>C5+C14+C20+C27</f>
        <v>3629150000.0309882</v>
      </c>
      <c r="C4" s="1392"/>
      <c r="D4" s="1391">
        <f>E5+E14+E20+E27</f>
        <v>3629150000.3532939</v>
      </c>
      <c r="E4" s="1393"/>
      <c r="F4" s="836"/>
    </row>
    <row r="5" spans="1:7" ht="18.75" customHeight="1">
      <c r="A5" s="1382" t="s">
        <v>696</v>
      </c>
      <c r="B5" s="837" t="s">
        <v>312</v>
      </c>
      <c r="C5" s="838">
        <f>SUM(C6:C13)</f>
        <v>2970700000.0309882</v>
      </c>
      <c r="D5" s="839" t="s">
        <v>312</v>
      </c>
      <c r="E5" s="840">
        <f>SUM(E6:E13)</f>
        <v>2970700000.1032939</v>
      </c>
      <c r="F5" s="836"/>
      <c r="G5" s="836"/>
    </row>
    <row r="6" spans="1:7" ht="18.75" customHeight="1">
      <c r="A6" s="1383"/>
      <c r="B6" s="841" t="s">
        <v>697</v>
      </c>
      <c r="C6" s="842">
        <f>'다. 세입내역서'!E18</f>
        <v>1928458500</v>
      </c>
      <c r="D6" s="843" t="s">
        <v>313</v>
      </c>
      <c r="E6" s="844">
        <f>'라. 세출내역서'!H8</f>
        <v>2668668470.1032939</v>
      </c>
    </row>
    <row r="7" spans="1:7" ht="18.75" customHeight="1">
      <c r="A7" s="1383"/>
      <c r="B7" s="845" t="s">
        <v>705</v>
      </c>
      <c r="C7" s="842">
        <f>'다. 세입내역서'!E23+'다. 세입내역서'!E28</f>
        <v>1026392970.0309881</v>
      </c>
      <c r="D7" s="843" t="s">
        <v>737</v>
      </c>
      <c r="E7" s="844">
        <f>'라. 세출내역서'!H514</f>
        <v>0</v>
      </c>
    </row>
    <row r="8" spans="1:7" ht="18.75" customHeight="1">
      <c r="A8" s="1383"/>
      <c r="B8" s="845" t="s">
        <v>738</v>
      </c>
      <c r="C8" s="842">
        <f>'다. 세입내역서'!E36</f>
        <v>6720000</v>
      </c>
      <c r="D8" s="843" t="s">
        <v>735</v>
      </c>
      <c r="E8" s="844">
        <f>'라. 세출내역서'!H519</f>
        <v>62458000</v>
      </c>
    </row>
    <row r="9" spans="1:7" ht="18.75" customHeight="1">
      <c r="A9" s="1383"/>
      <c r="B9" s="845" t="s">
        <v>739</v>
      </c>
      <c r="C9" s="842">
        <f>'라. 세출내역서'!E668</f>
        <v>8513190</v>
      </c>
      <c r="D9" s="846" t="s">
        <v>334</v>
      </c>
      <c r="E9" s="844">
        <f>'라. 세출내역서'!H562</f>
        <v>16430000</v>
      </c>
    </row>
    <row r="10" spans="1:7" ht="18.75" customHeight="1">
      <c r="A10" s="1383"/>
      <c r="B10" s="845" t="s">
        <v>740</v>
      </c>
      <c r="C10" s="842">
        <f>'라. 세출내역서'!E664</f>
        <v>615340</v>
      </c>
      <c r="D10" s="846" t="s">
        <v>736</v>
      </c>
      <c r="E10" s="844">
        <f>'라. 세출내역서'!H598</f>
        <v>162239200</v>
      </c>
    </row>
    <row r="11" spans="1:7" ht="18.75" customHeight="1">
      <c r="A11" s="1383"/>
      <c r="B11" s="845"/>
      <c r="C11" s="842"/>
      <c r="D11" s="846" t="s">
        <v>337</v>
      </c>
      <c r="E11" s="844">
        <f>'라. 세출내역서'!H615</f>
        <v>51775800</v>
      </c>
    </row>
    <row r="12" spans="1:7" ht="18.75" customHeight="1">
      <c r="A12" s="1383"/>
      <c r="B12" s="845"/>
      <c r="C12" s="842"/>
      <c r="D12" s="847" t="s">
        <v>360</v>
      </c>
      <c r="E12" s="844">
        <f>'라. 세출내역서'!H664</f>
        <v>615340</v>
      </c>
    </row>
    <row r="13" spans="1:7" ht="18.75" customHeight="1">
      <c r="A13" s="1384"/>
      <c r="B13" s="848" t="s">
        <v>698</v>
      </c>
      <c r="C13" s="849">
        <v>0</v>
      </c>
      <c r="D13" s="850" t="s">
        <v>559</v>
      </c>
      <c r="E13" s="851">
        <f>[1]라.국도비세출!F59+'[1]다-1.도시(군)세입'!F25</f>
        <v>8513190</v>
      </c>
    </row>
    <row r="14" spans="1:7" ht="18.75" customHeight="1">
      <c r="A14" s="1382" t="s">
        <v>348</v>
      </c>
      <c r="B14" s="837" t="s">
        <v>312</v>
      </c>
      <c r="C14" s="838">
        <f>SUM(C15:C19)</f>
        <v>43080563</v>
      </c>
      <c r="D14" s="839" t="s">
        <v>312</v>
      </c>
      <c r="E14" s="840">
        <f>SUM(E15:E19)</f>
        <v>43080563.125</v>
      </c>
    </row>
    <row r="15" spans="1:7" ht="18.75" customHeight="1">
      <c r="A15" s="1383"/>
      <c r="B15" s="841" t="s">
        <v>348</v>
      </c>
      <c r="C15" s="852">
        <f>'다. 세입내역서'!E42</f>
        <v>40000000</v>
      </c>
      <c r="D15" s="843" t="s">
        <v>313</v>
      </c>
      <c r="E15" s="844">
        <f>'라. 세출내역서'!I8</f>
        <v>32259920.125</v>
      </c>
    </row>
    <row r="16" spans="1:7" ht="18.75" customHeight="1">
      <c r="A16" s="1383"/>
      <c r="B16" s="841" t="s">
        <v>739</v>
      </c>
      <c r="C16" s="852">
        <v>3080563</v>
      </c>
      <c r="D16" s="843" t="s">
        <v>737</v>
      </c>
      <c r="E16" s="844">
        <f>'라. 세출내역서'!I514</f>
        <v>0</v>
      </c>
    </row>
    <row r="17" spans="1:5" ht="18.75" customHeight="1">
      <c r="A17" s="1383"/>
      <c r="B17" s="845" t="s">
        <v>741</v>
      </c>
      <c r="C17" s="842">
        <f>'[1]다-2.자부담세입'!E17</f>
        <v>0</v>
      </c>
      <c r="D17" s="846" t="str">
        <f>D8</f>
        <v>사무비운영비</v>
      </c>
      <c r="E17" s="844">
        <f>'라. 세출내역서'!I519</f>
        <v>3820643</v>
      </c>
    </row>
    <row r="18" spans="1:5" ht="18.75" customHeight="1">
      <c r="A18" s="1383"/>
      <c r="B18" s="845" t="s">
        <v>741</v>
      </c>
      <c r="C18" s="842">
        <f>'[1]다-2.자부담세입'!E20</f>
        <v>0</v>
      </c>
      <c r="D18" s="846" t="str">
        <f>D9</f>
        <v>시설비</v>
      </c>
      <c r="E18" s="844">
        <f>'라. 세출내역서'!I562</f>
        <v>5000000</v>
      </c>
    </row>
    <row r="19" spans="1:5" ht="18.75" customHeight="1">
      <c r="A19" s="1384"/>
      <c r="B19" s="845" t="s">
        <v>741</v>
      </c>
      <c r="C19" s="842"/>
      <c r="D19" s="846" t="str">
        <f>'라. 세출내역서'!B615</f>
        <v>사업비</v>
      </c>
      <c r="E19" s="844">
        <f>'라. 세출내역서'!I615</f>
        <v>2000000</v>
      </c>
    </row>
    <row r="20" spans="1:5" ht="18.75" customHeight="1">
      <c r="A20" s="1382" t="s">
        <v>699</v>
      </c>
      <c r="B20" s="837" t="s">
        <v>312</v>
      </c>
      <c r="C20" s="838">
        <f>SUM(C21:C25)</f>
        <v>213869437</v>
      </c>
      <c r="D20" s="839" t="s">
        <v>312</v>
      </c>
      <c r="E20" s="840">
        <f>SUM(E21:E26)</f>
        <v>213869437</v>
      </c>
    </row>
    <row r="21" spans="1:5" ht="18.75" customHeight="1">
      <c r="A21" s="1383"/>
      <c r="B21" s="841" t="s">
        <v>700</v>
      </c>
      <c r="C21" s="852">
        <f>'다. 세입내역서'!E9</f>
        <v>134400000</v>
      </c>
      <c r="D21" s="843" t="s">
        <v>313</v>
      </c>
      <c r="E21" s="844">
        <f>'라. 세출내역서'!J8</f>
        <v>2000000</v>
      </c>
    </row>
    <row r="22" spans="1:5" ht="18.75" customHeight="1">
      <c r="A22" s="1383"/>
      <c r="B22" s="841" t="s">
        <v>105</v>
      </c>
      <c r="C22" s="852">
        <f>자부담세출!V2+자부담세출!V4+자부담세출!V5+자부담세출!V6</f>
        <v>19352559</v>
      </c>
      <c r="D22" s="854" t="str">
        <f>D16</f>
        <v>업무추진비</v>
      </c>
      <c r="E22" s="844">
        <f>'라. 세출내역서'!J514</f>
        <v>2000000</v>
      </c>
    </row>
    <row r="23" spans="1:5" ht="18.75" customHeight="1">
      <c r="A23" s="1383"/>
      <c r="B23" s="845" t="s">
        <v>107</v>
      </c>
      <c r="C23" s="842">
        <f>+자부담세출!U4+자부담세출!U5+자부담세출!U6</f>
        <v>60116878</v>
      </c>
      <c r="D23" s="846" t="str">
        <f>D17</f>
        <v>사무비운영비</v>
      </c>
      <c r="E23" s="844">
        <f>'라. 세출내역서'!J519</f>
        <v>58869437</v>
      </c>
    </row>
    <row r="24" spans="1:5" ht="18.75" customHeight="1">
      <c r="A24" s="1383"/>
      <c r="B24" s="845"/>
      <c r="C24" s="842"/>
      <c r="D24" s="846" t="str">
        <f>D18</f>
        <v>시설비</v>
      </c>
      <c r="E24" s="844">
        <f>'라. 세출내역서'!J562</f>
        <v>5000000</v>
      </c>
    </row>
    <row r="25" spans="1:5" ht="18.75" customHeight="1">
      <c r="A25" s="1383"/>
      <c r="B25" s="845"/>
      <c r="C25" s="842"/>
      <c r="D25" s="846" t="str">
        <f>D19</f>
        <v>사업비</v>
      </c>
      <c r="E25" s="844">
        <f>'라. 세출내역서'!J598</f>
        <v>102000000</v>
      </c>
    </row>
    <row r="26" spans="1:5" ht="18.75" customHeight="1">
      <c r="A26" s="1384"/>
      <c r="B26" s="865"/>
      <c r="C26" s="866">
        <v>0</v>
      </c>
      <c r="D26" s="850" t="str">
        <f>D11</f>
        <v>사업비</v>
      </c>
      <c r="E26" s="851">
        <f>'라. 세출내역서'!J615</f>
        <v>44000000</v>
      </c>
    </row>
    <row r="27" spans="1:5" ht="18.75" customHeight="1">
      <c r="A27" s="1382" t="s">
        <v>701</v>
      </c>
      <c r="B27" s="837" t="s">
        <v>312</v>
      </c>
      <c r="C27" s="838">
        <f>SUM(C28:C32)</f>
        <v>401500000</v>
      </c>
      <c r="D27" s="839" t="s">
        <v>312</v>
      </c>
      <c r="E27" s="840">
        <f>SUM(E28:E35)</f>
        <v>401500000.125</v>
      </c>
    </row>
    <row r="28" spans="1:5" ht="18.75" customHeight="1">
      <c r="A28" s="1383"/>
      <c r="B28" s="841" t="s">
        <v>702</v>
      </c>
      <c r="C28" s="852">
        <f>'[1]다-3.후원금세입'!E18</f>
        <v>38500000</v>
      </c>
      <c r="D28" s="855" t="str">
        <f>D21</f>
        <v>인건비</v>
      </c>
      <c r="E28" s="844">
        <f>'라. 세출내역서'!K8</f>
        <v>38150810.125</v>
      </c>
    </row>
    <row r="29" spans="1:5" ht="18.75" customHeight="1">
      <c r="A29" s="1383"/>
      <c r="B29" s="845" t="s">
        <v>703</v>
      </c>
      <c r="C29" s="842">
        <f>'[1]다-3.후원금세입'!E19</f>
        <v>340000000</v>
      </c>
      <c r="D29" s="854" t="str">
        <f>D22</f>
        <v>업무추진비</v>
      </c>
      <c r="E29" s="844">
        <f>'라. 세출내역서'!K514</f>
        <v>0</v>
      </c>
    </row>
    <row r="30" spans="1:5" ht="18.75" customHeight="1">
      <c r="A30" s="1383"/>
      <c r="B30" s="867" t="s">
        <v>698</v>
      </c>
      <c r="C30" s="868">
        <v>0</v>
      </c>
      <c r="D30" s="847" t="str">
        <f>D8</f>
        <v>사무비운영비</v>
      </c>
      <c r="E30" s="853">
        <f>'라. 세출내역서'!K519</f>
        <v>112809085</v>
      </c>
    </row>
    <row r="31" spans="1:5" ht="18.75" customHeight="1">
      <c r="A31" s="1383"/>
      <c r="B31" s="845" t="s">
        <v>704</v>
      </c>
      <c r="C31" s="842">
        <f>'다. 세입내역서'!E49</f>
        <v>22458368</v>
      </c>
      <c r="D31" s="846" t="str">
        <f>D9</f>
        <v>시설비</v>
      </c>
      <c r="E31" s="844">
        <f>'라. 세출내역서'!K562</f>
        <v>203400000</v>
      </c>
    </row>
    <row r="32" spans="1:5" ht="18.75" customHeight="1">
      <c r="A32" s="1383"/>
      <c r="B32" s="845" t="s">
        <v>353</v>
      </c>
      <c r="C32" s="842">
        <f>'[1]다-3.후원금세입'!E33</f>
        <v>541632</v>
      </c>
      <c r="D32" s="846" t="str">
        <f>D25</f>
        <v>사업비</v>
      </c>
      <c r="E32" s="844">
        <f>'라. 세출내역서'!K598</f>
        <v>10000000</v>
      </c>
    </row>
    <row r="33" spans="1:5" ht="18.75" customHeight="1">
      <c r="A33" s="1383"/>
      <c r="B33" s="845"/>
      <c r="C33" s="842"/>
      <c r="D33" s="855" t="str">
        <f>D26</f>
        <v>사업비</v>
      </c>
      <c r="E33" s="844">
        <f>'라. 세출내역서'!K615</f>
        <v>33280000</v>
      </c>
    </row>
    <row r="34" spans="1:5" ht="18.75" customHeight="1">
      <c r="A34" s="1383"/>
      <c r="B34" s="845"/>
      <c r="C34" s="842"/>
      <c r="D34" s="846" t="str">
        <f>'라. 세출내역서'!B653</f>
        <v>결연사업비</v>
      </c>
      <c r="E34" s="844">
        <f>'라. 세출내역서'!K653</f>
        <v>2820000</v>
      </c>
    </row>
    <row r="35" spans="1:5" ht="18.75" customHeight="1" thickBot="1">
      <c r="A35" s="1385"/>
      <c r="B35" s="856"/>
      <c r="C35" s="857"/>
      <c r="D35" s="858" t="str">
        <f>'라. 세출내역서'!C658</f>
        <v>과년도지출</v>
      </c>
      <c r="E35" s="859">
        <f>'라. 세출내역서'!K658</f>
        <v>1040105</v>
      </c>
    </row>
    <row r="68" spans="5:5" hidden="1">
      <c r="E68" s="680">
        <v>0</v>
      </c>
    </row>
    <row r="74" spans="5:5" hidden="1"/>
  </sheetData>
  <mergeCells count="9">
    <mergeCell ref="A5:A13"/>
    <mergeCell ref="A14:A19"/>
    <mergeCell ref="A20:A26"/>
    <mergeCell ref="A27:A35"/>
    <mergeCell ref="A1:E1"/>
    <mergeCell ref="B3:C3"/>
    <mergeCell ref="D3:E3"/>
    <mergeCell ref="B4:C4"/>
    <mergeCell ref="D4:E4"/>
  </mergeCells>
  <phoneticPr fontId="7" type="noConversion"/>
  <pageMargins left="0.51" right="0.34" top="0.75" bottom="0.53" header="0.3" footer="0.3"/>
  <pageSetup paperSize="9" orientation="portrait" horizontalDpi="4294967293" vertic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58"/>
  <sheetViews>
    <sheetView topLeftCell="A28" zoomScaleNormal="100" zoomScaleSheetLayoutView="85" workbookViewId="0">
      <selection activeCell="F49" sqref="F49"/>
    </sheetView>
  </sheetViews>
  <sheetFormatPr defaultRowHeight="12.95" customHeight="1"/>
  <cols>
    <col min="1" max="2" width="9" style="4"/>
    <col min="3" max="3" width="12.5" style="4" customWidth="1"/>
    <col min="4" max="4" width="12.625" style="2" customWidth="1"/>
    <col min="5" max="5" width="12.625" style="6" customWidth="1"/>
    <col min="6" max="6" width="11.125" style="2" customWidth="1"/>
    <col min="7" max="7" width="9.75" style="2" customWidth="1"/>
    <col min="8" max="8" width="21.875" style="2" customWidth="1"/>
    <col min="9" max="9" width="11.25" style="4" customWidth="1"/>
    <col min="10" max="10" width="8.125" style="4" customWidth="1"/>
    <col min="11" max="11" width="12" style="5" customWidth="1"/>
    <col min="12" max="12" width="12.625" style="2" customWidth="1"/>
    <col min="13" max="13" width="12.625" style="6" customWidth="1"/>
    <col min="14" max="14" width="10.5" style="2" customWidth="1"/>
    <col min="15" max="15" width="11" style="2" customWidth="1"/>
    <col min="16" max="16" width="36.25" style="2" customWidth="1"/>
    <col min="17" max="17" width="4.875" style="9" customWidth="1"/>
    <col min="18" max="19" width="8.75" style="7" customWidth="1"/>
    <col min="20" max="20" width="6.75" style="9" customWidth="1"/>
    <col min="21" max="21" width="5" style="1" customWidth="1"/>
    <col min="22" max="23" width="5.5" style="1" customWidth="1"/>
    <col min="24" max="24" width="6.375" style="1" customWidth="1"/>
    <col min="25" max="16384" width="9" style="1"/>
  </cols>
  <sheetData>
    <row r="1" spans="1:24" s="7" customFormat="1" ht="23.25" customHeight="1">
      <c r="A1" s="1394" t="s">
        <v>719</v>
      </c>
      <c r="B1" s="1394"/>
      <c r="C1" s="1394"/>
      <c r="D1" s="1394"/>
      <c r="E1" s="1394"/>
      <c r="F1" s="1394"/>
      <c r="G1" s="1394"/>
      <c r="H1" s="1394"/>
      <c r="I1" s="1394"/>
      <c r="J1" s="1394"/>
      <c r="K1" s="1394"/>
      <c r="L1" s="1394"/>
      <c r="M1" s="1394"/>
      <c r="N1" s="1394"/>
      <c r="O1" s="1394"/>
      <c r="P1" s="1394"/>
      <c r="Q1" s="9"/>
      <c r="T1" s="9"/>
      <c r="U1" s="1"/>
      <c r="V1" s="1"/>
      <c r="W1" s="1"/>
      <c r="X1" s="1"/>
    </row>
    <row r="2" spans="1:24" s="7" customFormat="1" ht="18" customHeight="1">
      <c r="A2" s="28"/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1402" t="s">
        <v>10</v>
      </c>
      <c r="O2" s="1402"/>
      <c r="P2" s="28"/>
      <c r="Q2" s="9"/>
      <c r="T2" s="9"/>
      <c r="U2" s="1"/>
      <c r="V2" s="1"/>
      <c r="W2" s="1"/>
      <c r="X2" s="1"/>
    </row>
    <row r="3" spans="1:24" s="7" customFormat="1" ht="22.5" customHeight="1">
      <c r="A3" s="1248" t="s">
        <v>5</v>
      </c>
      <c r="B3" s="1395"/>
      <c r="C3" s="1395"/>
      <c r="D3" s="1395"/>
      <c r="E3" s="1395"/>
      <c r="F3" s="1395"/>
      <c r="G3" s="1395"/>
      <c r="H3" s="1396"/>
      <c r="I3" s="1253" t="s">
        <v>6</v>
      </c>
      <c r="J3" s="1249"/>
      <c r="K3" s="1249"/>
      <c r="L3" s="1249"/>
      <c r="M3" s="1249"/>
      <c r="N3" s="1254"/>
      <c r="O3" s="1255"/>
      <c r="P3" s="920"/>
      <c r="Q3" s="9"/>
      <c r="T3" s="9"/>
      <c r="U3" s="1"/>
      <c r="V3" s="1"/>
      <c r="W3" s="1"/>
      <c r="X3" s="1"/>
    </row>
    <row r="4" spans="1:24" s="7" customFormat="1" ht="27.75" customHeight="1">
      <c r="A4" s="1258" t="s">
        <v>0</v>
      </c>
      <c r="B4" s="1252"/>
      <c r="C4" s="1252"/>
      <c r="D4" s="1242" t="s">
        <v>389</v>
      </c>
      <c r="E4" s="1242" t="s">
        <v>387</v>
      </c>
      <c r="F4" s="1242" t="s">
        <v>58</v>
      </c>
      <c r="G4" s="1403" t="s">
        <v>743</v>
      </c>
      <c r="H4" s="1244" t="s">
        <v>45</v>
      </c>
      <c r="I4" s="1405" t="s">
        <v>0</v>
      </c>
      <c r="J4" s="1406"/>
      <c r="K4" s="1407"/>
      <c r="L4" s="1242" t="str">
        <f>D4</f>
        <v>2020년
당초예산(A)</v>
      </c>
      <c r="M4" s="1242" t="str">
        <f>E4</f>
        <v>1차추경
예산 (B)</v>
      </c>
      <c r="N4" s="1242" t="s">
        <v>58</v>
      </c>
      <c r="O4" s="1256" t="s">
        <v>743</v>
      </c>
      <c r="P4" s="1397" t="s">
        <v>45</v>
      </c>
      <c r="Q4" s="9"/>
      <c r="T4" s="9"/>
      <c r="U4" s="1"/>
      <c r="V4" s="1"/>
      <c r="W4" s="1"/>
      <c r="X4" s="1"/>
    </row>
    <row r="5" spans="1:24" s="7" customFormat="1" ht="14.25" thickBot="1">
      <c r="A5" s="698" t="s">
        <v>1</v>
      </c>
      <c r="B5" s="699" t="s">
        <v>2</v>
      </c>
      <c r="C5" s="699" t="s">
        <v>3</v>
      </c>
      <c r="D5" s="1243"/>
      <c r="E5" s="1243"/>
      <c r="F5" s="1243"/>
      <c r="G5" s="1404"/>
      <c r="H5" s="1245"/>
      <c r="I5" s="700" t="s">
        <v>1</v>
      </c>
      <c r="J5" s="699" t="s">
        <v>2</v>
      </c>
      <c r="K5" s="701" t="s">
        <v>3</v>
      </c>
      <c r="L5" s="1243"/>
      <c r="M5" s="1243"/>
      <c r="N5" s="1243"/>
      <c r="O5" s="1257"/>
      <c r="P5" s="1398"/>
      <c r="Q5" s="9"/>
      <c r="T5" s="9"/>
      <c r="U5" s="1"/>
      <c r="V5" s="1"/>
      <c r="W5" s="1"/>
      <c r="X5" s="1"/>
    </row>
    <row r="6" spans="1:24" s="7" customFormat="1" ht="24" customHeight="1" thickTop="1" thickBot="1">
      <c r="A6" s="1261" t="s">
        <v>4</v>
      </c>
      <c r="B6" s="1262"/>
      <c r="C6" s="1262"/>
      <c r="D6" s="702">
        <f>D7+D13+D16+D30+D35+D45+D10+D24</f>
        <v>3230720000</v>
      </c>
      <c r="E6" s="880">
        <f>E7+E13+E16+E30+E35+E45+E10+E24</f>
        <v>3629150000.0309882</v>
      </c>
      <c r="F6" s="702">
        <f>F7+F13+F16+F30+F35+F45+F10+F24</f>
        <v>398430000.0309881</v>
      </c>
      <c r="G6" s="881">
        <f>F6/D6*100</f>
        <v>12.332545068312577</v>
      </c>
      <c r="H6" s="1229"/>
      <c r="I6" s="1399" t="s">
        <v>4</v>
      </c>
      <c r="J6" s="1400"/>
      <c r="K6" s="1401"/>
      <c r="L6" s="703">
        <f>SUM(L7,L24,L29,L45,L48,L51)</f>
        <v>3230720000</v>
      </c>
      <c r="M6" s="703">
        <f>SUM(M7,M24,M29,M45,M48,M51)</f>
        <v>3629150000.3532939</v>
      </c>
      <c r="N6" s="703">
        <f>M6-L6</f>
        <v>398430000.3532939</v>
      </c>
      <c r="O6" s="862">
        <f>N6/L6*100</f>
        <v>12.332545078288861</v>
      </c>
      <c r="P6" s="882"/>
      <c r="Q6" s="12"/>
      <c r="R6" s="11"/>
      <c r="T6" s="9"/>
      <c r="U6" s="1"/>
      <c r="V6" s="1"/>
      <c r="W6" s="1"/>
      <c r="X6" s="1"/>
    </row>
    <row r="7" spans="1:24" s="7" customFormat="1" ht="26.25" customHeight="1" thickTop="1">
      <c r="A7" s="706" t="s">
        <v>308</v>
      </c>
      <c r="B7" s="1259" t="s">
        <v>309</v>
      </c>
      <c r="C7" s="1259"/>
      <c r="D7" s="707">
        <v>134400000</v>
      </c>
      <c r="E7" s="883">
        <f t="shared" ref="E7:E8" si="0">E8</f>
        <v>134400000</v>
      </c>
      <c r="F7" s="707">
        <f>F8</f>
        <v>0</v>
      </c>
      <c r="G7" s="884">
        <f>F7/D7*100</f>
        <v>0</v>
      </c>
      <c r="H7" s="1230"/>
      <c r="I7" s="709" t="s">
        <v>111</v>
      </c>
      <c r="J7" s="710" t="s">
        <v>92</v>
      </c>
      <c r="K7" s="710"/>
      <c r="L7" s="711">
        <v>2628751180</v>
      </c>
      <c r="M7" s="712">
        <f>SUM(M8,M15,M17)</f>
        <v>2981036365.3532939</v>
      </c>
      <c r="N7" s="661">
        <f>M7-L7</f>
        <v>352285185.3532939</v>
      </c>
      <c r="O7" s="662">
        <f>N7/L7*100</f>
        <v>13.401237364477147</v>
      </c>
      <c r="P7" s="885"/>
      <c r="Q7" s="9"/>
      <c r="R7" s="8"/>
      <c r="T7" s="9"/>
      <c r="U7" s="1"/>
      <c r="V7" s="1"/>
      <c r="W7" s="1"/>
      <c r="X7" s="1"/>
    </row>
    <row r="8" spans="1:24" s="7" customFormat="1" ht="26.25" customHeight="1">
      <c r="A8" s="714"/>
      <c r="B8" s="715" t="s">
        <v>311</v>
      </c>
      <c r="C8" s="715" t="s">
        <v>312</v>
      </c>
      <c r="D8" s="716">
        <v>134400000</v>
      </c>
      <c r="E8" s="886">
        <f t="shared" si="0"/>
        <v>134400000</v>
      </c>
      <c r="F8" s="716">
        <f>F9</f>
        <v>0</v>
      </c>
      <c r="G8" s="887">
        <f>F8/D8*100</f>
        <v>0</v>
      </c>
      <c r="H8" s="1231"/>
      <c r="I8" s="718"/>
      <c r="J8" s="719" t="s">
        <v>112</v>
      </c>
      <c r="K8" s="719" t="s">
        <v>94</v>
      </c>
      <c r="L8" s="668">
        <v>2393247270</v>
      </c>
      <c r="M8" s="668">
        <f>SUM(M9:M14)</f>
        <v>2741079200.3532939</v>
      </c>
      <c r="N8" s="663">
        <f>M8-L8</f>
        <v>347831930.3532939</v>
      </c>
      <c r="O8" s="664">
        <f>N8/L8*100</f>
        <v>14.533890196531758</v>
      </c>
      <c r="P8" s="888"/>
      <c r="Q8" s="10"/>
      <c r="R8" s="8"/>
      <c r="T8" s="9"/>
      <c r="U8" s="1"/>
      <c r="V8" s="1"/>
      <c r="W8" s="1"/>
      <c r="X8" s="1"/>
    </row>
    <row r="9" spans="1:24" s="7" customFormat="1" ht="26.25" customHeight="1">
      <c r="A9" s="714"/>
      <c r="B9" s="721"/>
      <c r="C9" s="721" t="s">
        <v>311</v>
      </c>
      <c r="D9" s="722">
        <v>134400000</v>
      </c>
      <c r="E9" s="889">
        <f>'다. 세입내역서'!E9</f>
        <v>134400000</v>
      </c>
      <c r="F9" s="722">
        <f>E9-D9</f>
        <v>0</v>
      </c>
      <c r="G9" s="890">
        <f t="shared" ref="G9:G21" si="1">F9/D9*100</f>
        <v>0</v>
      </c>
      <c r="H9" s="1232"/>
      <c r="I9" s="718"/>
      <c r="J9" s="606"/>
      <c r="K9" s="606" t="s">
        <v>113</v>
      </c>
      <c r="L9" s="607">
        <v>1479465000</v>
      </c>
      <c r="M9" s="607">
        <f>'라. 세출내역서'!E9</f>
        <v>1687166000</v>
      </c>
      <c r="N9" s="609">
        <f>M9-L9</f>
        <v>207701000</v>
      </c>
      <c r="O9" s="665">
        <f t="shared" ref="O9:O16" si="2">N9/L9*100</f>
        <v>14.038926233469532</v>
      </c>
      <c r="P9" s="891" t="s">
        <v>1087</v>
      </c>
      <c r="Q9" s="9"/>
      <c r="T9" s="9"/>
      <c r="U9" s="1"/>
      <c r="V9" s="1"/>
      <c r="W9" s="1"/>
      <c r="X9" s="1"/>
    </row>
    <row r="10" spans="1:24" s="7" customFormat="1" ht="26.25" customHeight="1">
      <c r="A10" s="724" t="s">
        <v>314</v>
      </c>
      <c r="B10" s="1260" t="s">
        <v>309</v>
      </c>
      <c r="C10" s="1260"/>
      <c r="D10" s="725">
        <v>0</v>
      </c>
      <c r="E10" s="892">
        <f t="shared" ref="E10:F11" si="3">E11</f>
        <v>0</v>
      </c>
      <c r="F10" s="725">
        <f t="shared" si="3"/>
        <v>0</v>
      </c>
      <c r="G10" s="893">
        <v>0</v>
      </c>
      <c r="H10" s="1233"/>
      <c r="I10" s="718"/>
      <c r="J10" s="606"/>
      <c r="K10" s="606" t="s">
        <v>286</v>
      </c>
      <c r="L10" s="607">
        <v>9600000</v>
      </c>
      <c r="M10" s="607">
        <f>'라. 세출내역서'!E133</f>
        <v>9600000</v>
      </c>
      <c r="N10" s="609">
        <f t="shared" ref="N10:N23" si="4">M10-L10</f>
        <v>0</v>
      </c>
      <c r="O10" s="665">
        <f t="shared" si="2"/>
        <v>0</v>
      </c>
      <c r="P10" s="894"/>
      <c r="Q10" s="9"/>
      <c r="T10" s="9"/>
      <c r="U10" s="1"/>
      <c r="V10" s="1"/>
      <c r="W10" s="1"/>
      <c r="X10" s="1"/>
    </row>
    <row r="11" spans="1:24" s="7" customFormat="1" ht="26.25" customHeight="1">
      <c r="A11" s="714"/>
      <c r="B11" s="715" t="s">
        <v>314</v>
      </c>
      <c r="C11" s="715" t="s">
        <v>312</v>
      </c>
      <c r="D11" s="716">
        <v>0</v>
      </c>
      <c r="E11" s="886">
        <f t="shared" si="3"/>
        <v>0</v>
      </c>
      <c r="F11" s="716">
        <f t="shared" si="3"/>
        <v>0</v>
      </c>
      <c r="G11" s="887">
        <v>0</v>
      </c>
      <c r="H11" s="1231"/>
      <c r="I11" s="718"/>
      <c r="J11" s="606"/>
      <c r="K11" s="606" t="s">
        <v>114</v>
      </c>
      <c r="L11" s="607">
        <v>509510880</v>
      </c>
      <c r="M11" s="607">
        <f>'라. 세출내역서'!E135</f>
        <v>597343050</v>
      </c>
      <c r="N11" s="609">
        <f t="shared" si="4"/>
        <v>87832170</v>
      </c>
      <c r="O11" s="665">
        <f t="shared" si="2"/>
        <v>17.238526878954968</v>
      </c>
      <c r="P11" s="894" t="s">
        <v>707</v>
      </c>
      <c r="Q11" s="9"/>
      <c r="T11" s="9"/>
      <c r="U11" s="1"/>
      <c r="V11" s="1"/>
      <c r="W11" s="1"/>
      <c r="X11" s="1"/>
    </row>
    <row r="12" spans="1:24" s="7" customFormat="1" ht="26.25" customHeight="1">
      <c r="A12" s="714"/>
      <c r="B12" s="721"/>
      <c r="C12" s="721" t="s">
        <v>316</v>
      </c>
      <c r="D12" s="722">
        <v>0</v>
      </c>
      <c r="E12" s="889">
        <f>'[1]다-2.자부담세입'!E13</f>
        <v>0</v>
      </c>
      <c r="F12" s="722">
        <f>E12-D12</f>
        <v>0</v>
      </c>
      <c r="G12" s="890">
        <v>0</v>
      </c>
      <c r="H12" s="1232"/>
      <c r="I12" s="718"/>
      <c r="J12" s="606"/>
      <c r="K12" s="606" t="s">
        <v>115</v>
      </c>
      <c r="L12" s="607">
        <v>164978100</v>
      </c>
      <c r="M12" s="607">
        <f>'라. 세출내역서'!E482</f>
        <v>187840130</v>
      </c>
      <c r="N12" s="609">
        <f t="shared" si="4"/>
        <v>22862030</v>
      </c>
      <c r="O12" s="665">
        <f t="shared" si="2"/>
        <v>13.857615041026659</v>
      </c>
      <c r="P12" s="894" t="s">
        <v>708</v>
      </c>
      <c r="Q12" s="9"/>
      <c r="T12" s="9"/>
      <c r="U12" s="1"/>
      <c r="V12" s="1"/>
      <c r="W12" s="1"/>
      <c r="X12" s="1"/>
    </row>
    <row r="13" spans="1:24" s="7" customFormat="1" ht="26.25" customHeight="1">
      <c r="A13" s="724" t="s">
        <v>318</v>
      </c>
      <c r="B13" s="1260" t="s">
        <v>309</v>
      </c>
      <c r="C13" s="1260"/>
      <c r="D13" s="725">
        <v>0</v>
      </c>
      <c r="E13" s="892">
        <f t="shared" ref="E13:F13" si="5">E14</f>
        <v>0</v>
      </c>
      <c r="F13" s="725">
        <f t="shared" si="5"/>
        <v>0</v>
      </c>
      <c r="G13" s="893">
        <v>0</v>
      </c>
      <c r="H13" s="1233"/>
      <c r="I13" s="718"/>
      <c r="J13" s="606"/>
      <c r="K13" s="606" t="s">
        <v>116</v>
      </c>
      <c r="L13" s="607">
        <v>187693290</v>
      </c>
      <c r="M13" s="607">
        <f>'라. 세출내역서'!E486</f>
        <v>222130020.35329375</v>
      </c>
      <c r="N13" s="609">
        <f t="shared" si="4"/>
        <v>34436730.353293747</v>
      </c>
      <c r="O13" s="665">
        <f t="shared" si="2"/>
        <v>18.347342280213503</v>
      </c>
      <c r="P13" s="891" t="s">
        <v>721</v>
      </c>
      <c r="Q13" s="11"/>
      <c r="T13" s="9"/>
      <c r="U13" s="1"/>
      <c r="V13" s="1"/>
      <c r="W13" s="1"/>
      <c r="X13" s="1"/>
    </row>
    <row r="14" spans="1:24" s="7" customFormat="1" ht="26.25" customHeight="1">
      <c r="A14" s="714"/>
      <c r="B14" s="715" t="s">
        <v>318</v>
      </c>
      <c r="C14" s="715" t="s">
        <v>312</v>
      </c>
      <c r="D14" s="716">
        <v>0</v>
      </c>
      <c r="E14" s="886">
        <f>E15</f>
        <v>0</v>
      </c>
      <c r="F14" s="716">
        <f>F15</f>
        <v>0</v>
      </c>
      <c r="G14" s="887">
        <v>0</v>
      </c>
      <c r="H14" s="1231"/>
      <c r="I14" s="718"/>
      <c r="J14" s="606"/>
      <c r="K14" s="606" t="s">
        <v>117</v>
      </c>
      <c r="L14" s="607">
        <v>42000000</v>
      </c>
      <c r="M14" s="607">
        <f>'라. 세출내역서'!E502</f>
        <v>37000000</v>
      </c>
      <c r="N14" s="609">
        <f>M14-L14</f>
        <v>-5000000</v>
      </c>
      <c r="O14" s="874">
        <f>N14/L14*100</f>
        <v>-11.904761904761903</v>
      </c>
      <c r="P14" s="891" t="s">
        <v>1088</v>
      </c>
      <c r="Q14" s="9"/>
      <c r="T14" s="9"/>
      <c r="U14" s="1"/>
      <c r="V14" s="1"/>
      <c r="W14" s="1"/>
      <c r="X14" s="1"/>
    </row>
    <row r="15" spans="1:24" s="7" customFormat="1" ht="21" customHeight="1">
      <c r="A15" s="714"/>
      <c r="B15" s="721"/>
      <c r="C15" s="721" t="s">
        <v>318</v>
      </c>
      <c r="D15" s="722">
        <v>0</v>
      </c>
      <c r="E15" s="889">
        <v>0</v>
      </c>
      <c r="F15" s="722">
        <f>E15-D15</f>
        <v>0</v>
      </c>
      <c r="G15" s="890">
        <v>0</v>
      </c>
      <c r="H15" s="1232"/>
      <c r="I15" s="718"/>
      <c r="J15" s="719" t="s">
        <v>118</v>
      </c>
      <c r="K15" s="719" t="s">
        <v>94</v>
      </c>
      <c r="L15" s="663">
        <v>2490000</v>
      </c>
      <c r="M15" s="663">
        <f>M16</f>
        <v>2000000</v>
      </c>
      <c r="N15" s="663">
        <f>M15-L15</f>
        <v>-490000</v>
      </c>
      <c r="O15" s="873">
        <f>N15/L15*100</f>
        <v>-19.678714859437751</v>
      </c>
      <c r="P15" s="888"/>
      <c r="Q15" s="9"/>
      <c r="T15" s="9"/>
      <c r="U15" s="1"/>
      <c r="V15" s="1"/>
      <c r="W15" s="1"/>
      <c r="X15" s="1"/>
    </row>
    <row r="16" spans="1:24" s="9" customFormat="1" ht="21" customHeight="1">
      <c r="A16" s="724" t="s">
        <v>322</v>
      </c>
      <c r="B16" s="1222" t="s">
        <v>309</v>
      </c>
      <c r="C16" s="1222"/>
      <c r="D16" s="132">
        <v>2591323820</v>
      </c>
      <c r="E16" s="895">
        <f>E17+E23+E28</f>
        <v>2961571470.0309882</v>
      </c>
      <c r="F16" s="132">
        <f>F17+F23+F28</f>
        <v>370247650.0309881</v>
      </c>
      <c r="G16" s="893">
        <f t="shared" si="1"/>
        <v>14.287973088249082</v>
      </c>
      <c r="H16" s="1233"/>
      <c r="I16" s="718"/>
      <c r="J16" s="617"/>
      <c r="K16" s="606" t="s">
        <v>119</v>
      </c>
      <c r="L16" s="609">
        <v>2490000</v>
      </c>
      <c r="M16" s="609">
        <f>'라. 세출내역서'!E515</f>
        <v>2000000</v>
      </c>
      <c r="N16" s="609">
        <f t="shared" si="4"/>
        <v>-490000</v>
      </c>
      <c r="O16" s="874">
        <f t="shared" si="2"/>
        <v>-19.678714859437751</v>
      </c>
      <c r="P16" s="891" t="s">
        <v>709</v>
      </c>
      <c r="R16" s="7"/>
      <c r="S16" s="7"/>
      <c r="U16" s="1"/>
      <c r="V16" s="1"/>
      <c r="W16" s="1"/>
      <c r="X16" s="1"/>
    </row>
    <row r="17" spans="1:24" s="9" customFormat="1" ht="21" customHeight="1">
      <c r="A17" s="714"/>
      <c r="B17" s="715" t="s">
        <v>322</v>
      </c>
      <c r="C17" s="715" t="s">
        <v>312</v>
      </c>
      <c r="D17" s="728">
        <f>SUM(D18:D21)</f>
        <v>2591323820</v>
      </c>
      <c r="E17" s="896">
        <f>SUM(E18:E21)</f>
        <v>2961571470.0309882</v>
      </c>
      <c r="F17" s="728">
        <f>SUM(F18:F21)</f>
        <v>370247650.0309881</v>
      </c>
      <c r="G17" s="887">
        <f t="shared" si="1"/>
        <v>14.287973088249082</v>
      </c>
      <c r="H17" s="1231"/>
      <c r="I17" s="718"/>
      <c r="J17" s="730" t="s">
        <v>120</v>
      </c>
      <c r="K17" s="730" t="s">
        <v>94</v>
      </c>
      <c r="L17" s="663">
        <v>233013910</v>
      </c>
      <c r="M17" s="663">
        <f>SUM(M18:M23)</f>
        <v>237957165</v>
      </c>
      <c r="N17" s="663">
        <f>M17-L17</f>
        <v>4943255</v>
      </c>
      <c r="O17" s="664">
        <f>N17/L17*100</f>
        <v>2.1214420203497721</v>
      </c>
      <c r="P17" s="888"/>
      <c r="R17" s="8"/>
      <c r="S17" s="7"/>
      <c r="U17" s="1"/>
      <c r="V17" s="1"/>
      <c r="W17" s="1"/>
      <c r="X17" s="1"/>
    </row>
    <row r="18" spans="1:24" s="9" customFormat="1" ht="63.75" customHeight="1">
      <c r="A18" s="714"/>
      <c r="B18" s="721"/>
      <c r="C18" s="860" t="s">
        <v>731</v>
      </c>
      <c r="D18" s="731">
        <v>1672616764</v>
      </c>
      <c r="E18" s="897">
        <f>'다. 세입내역서'!E18</f>
        <v>1928458500</v>
      </c>
      <c r="F18" s="722">
        <f>E18-D18</f>
        <v>255841736</v>
      </c>
      <c r="G18" s="890">
        <f t="shared" si="1"/>
        <v>15.295896914734019</v>
      </c>
      <c r="H18" s="898" t="s">
        <v>710</v>
      </c>
      <c r="I18" s="718"/>
      <c r="J18" s="620"/>
      <c r="K18" s="620" t="s">
        <v>121</v>
      </c>
      <c r="L18" s="609">
        <v>5000000</v>
      </c>
      <c r="M18" s="609">
        <f>'라. 세출내역서'!E520</f>
        <v>2000000</v>
      </c>
      <c r="N18" s="609">
        <f t="shared" si="4"/>
        <v>-3000000</v>
      </c>
      <c r="O18" s="874">
        <f t="shared" ref="O18:O23" si="6">N18/L18*100</f>
        <v>-60</v>
      </c>
      <c r="P18" s="891" t="s">
        <v>722</v>
      </c>
      <c r="R18" s="7"/>
      <c r="S18" s="7"/>
      <c r="U18" s="1"/>
      <c r="V18" s="1"/>
      <c r="W18" s="1"/>
      <c r="X18" s="1"/>
    </row>
    <row r="19" spans="1:24" s="9" customFormat="1" ht="45" customHeight="1">
      <c r="A19" s="732"/>
      <c r="B19" s="721"/>
      <c r="C19" s="860" t="s">
        <v>732</v>
      </c>
      <c r="D19" s="731">
        <v>717435756</v>
      </c>
      <c r="E19" s="897">
        <f>'다. 세입내역서'!E23</f>
        <v>827081870.0309881</v>
      </c>
      <c r="F19" s="722">
        <f>E19-D19</f>
        <v>109646114.0309881</v>
      </c>
      <c r="G19" s="890">
        <f t="shared" si="1"/>
        <v>15.283056791357929</v>
      </c>
      <c r="H19" s="899" t="s">
        <v>711</v>
      </c>
      <c r="I19" s="718"/>
      <c r="J19" s="620"/>
      <c r="K19" s="620" t="s">
        <v>122</v>
      </c>
      <c r="L19" s="607">
        <v>55288080</v>
      </c>
      <c r="M19" s="607">
        <f>'라. 세출내역서'!E522</f>
        <v>57956715</v>
      </c>
      <c r="N19" s="609">
        <f t="shared" si="4"/>
        <v>2668635</v>
      </c>
      <c r="O19" s="665">
        <f t="shared" si="6"/>
        <v>4.8267818307309636</v>
      </c>
      <c r="P19" s="891" t="s">
        <v>1089</v>
      </c>
      <c r="R19" s="7"/>
      <c r="S19" s="7"/>
      <c r="U19" s="1"/>
      <c r="V19" s="1"/>
      <c r="W19" s="1"/>
      <c r="X19" s="1"/>
    </row>
    <row r="20" spans="1:24" s="9" customFormat="1" ht="59.25" customHeight="1">
      <c r="A20" s="714"/>
      <c r="B20" s="721"/>
      <c r="C20" s="860" t="s">
        <v>733</v>
      </c>
      <c r="D20" s="731">
        <v>194551300</v>
      </c>
      <c r="E20" s="897">
        <f>'다. 세입내역서'!E28</f>
        <v>199311100</v>
      </c>
      <c r="F20" s="722">
        <f>E20-D20</f>
        <v>4759800</v>
      </c>
      <c r="G20" s="890">
        <f t="shared" si="1"/>
        <v>2.446552657319689</v>
      </c>
      <c r="H20" s="1234" t="s">
        <v>712</v>
      </c>
      <c r="I20" s="718"/>
      <c r="J20" s="620"/>
      <c r="K20" s="620" t="s">
        <v>123</v>
      </c>
      <c r="L20" s="607">
        <v>119100000</v>
      </c>
      <c r="M20" s="607">
        <f>'라. 세출내역서'!E539</f>
        <v>135000000</v>
      </c>
      <c r="N20" s="609">
        <f t="shared" si="4"/>
        <v>15900000</v>
      </c>
      <c r="O20" s="665">
        <f t="shared" si="6"/>
        <v>13.350125944584383</v>
      </c>
      <c r="P20" s="891" t="s">
        <v>1094</v>
      </c>
      <c r="R20" s="7"/>
      <c r="S20" s="7"/>
      <c r="U20" s="1"/>
      <c r="V20" s="1"/>
      <c r="W20" s="1"/>
      <c r="X20" s="1"/>
    </row>
    <row r="21" spans="1:24" s="9" customFormat="1" ht="63.75" customHeight="1">
      <c r="A21" s="714"/>
      <c r="B21" s="721"/>
      <c r="C21" s="861" t="s">
        <v>498</v>
      </c>
      <c r="D21" s="731">
        <v>6720000</v>
      </c>
      <c r="E21" s="897">
        <f>'다. 세입내역서'!E36</f>
        <v>6720000</v>
      </c>
      <c r="F21" s="722">
        <f>E21-D21</f>
        <v>0</v>
      </c>
      <c r="G21" s="890">
        <f t="shared" si="1"/>
        <v>0</v>
      </c>
      <c r="H21" s="1234" t="s">
        <v>1093</v>
      </c>
      <c r="I21" s="718"/>
      <c r="J21" s="620"/>
      <c r="K21" s="620" t="s">
        <v>124</v>
      </c>
      <c r="L21" s="607">
        <v>13625830</v>
      </c>
      <c r="M21" s="607">
        <f>'라. 세출내역서'!E546</f>
        <v>13700450</v>
      </c>
      <c r="N21" s="609">
        <f t="shared" si="4"/>
        <v>74620</v>
      </c>
      <c r="O21" s="665">
        <f t="shared" si="6"/>
        <v>0.5476363641701093</v>
      </c>
      <c r="P21" s="900"/>
      <c r="Q21" s="10"/>
      <c r="R21" s="8"/>
      <c r="S21" s="8"/>
      <c r="U21" s="1"/>
      <c r="V21" s="1"/>
      <c r="W21" s="1"/>
      <c r="X21" s="1"/>
    </row>
    <row r="22" spans="1:24" s="9" customFormat="1" ht="30" customHeight="1">
      <c r="A22" s="733"/>
      <c r="B22" s="721"/>
      <c r="C22" s="721"/>
      <c r="D22" s="731"/>
      <c r="E22" s="897"/>
      <c r="F22" s="731"/>
      <c r="G22" s="890"/>
      <c r="H22" s="1232"/>
      <c r="I22" s="718"/>
      <c r="J22" s="620"/>
      <c r="K22" s="620" t="s">
        <v>125</v>
      </c>
      <c r="L22" s="607">
        <v>26000000</v>
      </c>
      <c r="M22" s="607">
        <f>'라. 세출내역서'!E554</f>
        <v>22800000</v>
      </c>
      <c r="N22" s="609">
        <f t="shared" si="4"/>
        <v>-3200000</v>
      </c>
      <c r="O22" s="874">
        <f t="shared" si="6"/>
        <v>-12.307692307692308</v>
      </c>
      <c r="P22" s="891" t="s">
        <v>734</v>
      </c>
      <c r="Q22" s="10"/>
      <c r="R22" s="8"/>
      <c r="S22" s="8"/>
      <c r="U22" s="1"/>
      <c r="V22" s="1"/>
      <c r="W22" s="1"/>
      <c r="X22" s="1"/>
    </row>
    <row r="23" spans="1:24" s="9" customFormat="1" ht="30" customHeight="1">
      <c r="A23" s="714"/>
      <c r="B23" s="721"/>
      <c r="C23" s="721"/>
      <c r="D23" s="731"/>
      <c r="E23" s="897"/>
      <c r="F23" s="731"/>
      <c r="G23" s="890"/>
      <c r="H23" s="1232"/>
      <c r="I23" s="718"/>
      <c r="J23" s="620"/>
      <c r="K23" s="620" t="s">
        <v>126</v>
      </c>
      <c r="L23" s="607">
        <v>14000000</v>
      </c>
      <c r="M23" s="607">
        <f>'라. 세출내역서'!E557</f>
        <v>6500000</v>
      </c>
      <c r="N23" s="609">
        <f t="shared" si="4"/>
        <v>-7500000</v>
      </c>
      <c r="O23" s="874">
        <f t="shared" si="6"/>
        <v>-53.571428571428569</v>
      </c>
      <c r="P23" s="891" t="s">
        <v>713</v>
      </c>
      <c r="Q23" s="10"/>
      <c r="R23" s="8"/>
      <c r="S23" s="8"/>
      <c r="U23" s="1"/>
      <c r="V23" s="1"/>
      <c r="W23" s="1"/>
      <c r="X23" s="1"/>
    </row>
    <row r="24" spans="1:24" s="9" customFormat="1" ht="30" customHeight="1">
      <c r="A24" s="724" t="s">
        <v>338</v>
      </c>
      <c r="B24" s="1222" t="s">
        <v>309</v>
      </c>
      <c r="C24" s="1222"/>
      <c r="D24" s="132">
        <v>364200000</v>
      </c>
      <c r="E24" s="895">
        <f>E25+E34</f>
        <v>378460000</v>
      </c>
      <c r="F24" s="132">
        <f>F25+F34</f>
        <v>14260000</v>
      </c>
      <c r="G24" s="893">
        <f>F24/D24*100</f>
        <v>3.9154310818231743</v>
      </c>
      <c r="H24" s="1233"/>
      <c r="I24" s="735" t="s">
        <v>127</v>
      </c>
      <c r="J24" s="622" t="s">
        <v>92</v>
      </c>
      <c r="K24" s="622"/>
      <c r="L24" s="623">
        <v>167900000</v>
      </c>
      <c r="M24" s="623">
        <f>M25</f>
        <v>229830000</v>
      </c>
      <c r="N24" s="623">
        <f>M24-L24</f>
        <v>61930000</v>
      </c>
      <c r="O24" s="666">
        <f>N24/L24*100</f>
        <v>36.885050625372244</v>
      </c>
      <c r="P24" s="901"/>
      <c r="Q24" s="10"/>
      <c r="R24" s="8"/>
      <c r="S24" s="8"/>
      <c r="U24" s="1"/>
      <c r="V24" s="1"/>
      <c r="W24" s="1"/>
      <c r="X24" s="1"/>
    </row>
    <row r="25" spans="1:24" s="9" customFormat="1" ht="30" customHeight="1">
      <c r="A25" s="714"/>
      <c r="B25" s="715" t="s">
        <v>339</v>
      </c>
      <c r="C25" s="715" t="s">
        <v>312</v>
      </c>
      <c r="D25" s="728">
        <v>364200000</v>
      </c>
      <c r="E25" s="896">
        <f>SUM(E26:E27)</f>
        <v>378460000</v>
      </c>
      <c r="F25" s="728">
        <f>SUM(F26:F27)</f>
        <v>14260000</v>
      </c>
      <c r="G25" s="890">
        <f>F25/D25*100</f>
        <v>3.9154310818231743</v>
      </c>
      <c r="H25" s="1232"/>
      <c r="I25" s="718"/>
      <c r="J25" s="730" t="s">
        <v>128</v>
      </c>
      <c r="K25" s="730" t="s">
        <v>94</v>
      </c>
      <c r="L25" s="668">
        <v>167900000</v>
      </c>
      <c r="M25" s="668">
        <f>SUM(M26:M28)</f>
        <v>229830000</v>
      </c>
      <c r="N25" s="663">
        <f>M25-L25</f>
        <v>61930000</v>
      </c>
      <c r="O25" s="664">
        <f>N25/L25*100</f>
        <v>36.885050625372244</v>
      </c>
      <c r="P25" s="888"/>
      <c r="Q25" s="10"/>
      <c r="R25" s="8"/>
      <c r="S25" s="8"/>
      <c r="U25" s="1"/>
      <c r="V25" s="1"/>
      <c r="W25" s="1"/>
      <c r="X25" s="1"/>
    </row>
    <row r="26" spans="1:24" s="9" customFormat="1" ht="32.25" customHeight="1">
      <c r="A26" s="714"/>
      <c r="B26" s="721"/>
      <c r="C26" s="721" t="s">
        <v>341</v>
      </c>
      <c r="D26" s="731">
        <v>14200000</v>
      </c>
      <c r="E26" s="897">
        <f>'다. 세입내역서'!E39</f>
        <v>38500000</v>
      </c>
      <c r="F26" s="722">
        <f>E26-D26</f>
        <v>24300000</v>
      </c>
      <c r="G26" s="890">
        <f>F26/D26*100</f>
        <v>171.12676056338029</v>
      </c>
      <c r="H26" s="898" t="s">
        <v>716</v>
      </c>
      <c r="I26" s="718"/>
      <c r="J26" s="620"/>
      <c r="K26" s="620" t="s">
        <v>128</v>
      </c>
      <c r="L26" s="607">
        <v>10000000</v>
      </c>
      <c r="M26" s="607">
        <f>'라. 세출내역서'!E563</f>
        <v>0</v>
      </c>
      <c r="N26" s="667">
        <f t="shared" ref="N26:N28" si="7">M26-L26</f>
        <v>-10000000</v>
      </c>
      <c r="O26" s="874">
        <f t="shared" ref="O26:O28" si="8">N26/L26*100</f>
        <v>-100</v>
      </c>
      <c r="P26" s="902" t="s">
        <v>723</v>
      </c>
      <c r="Q26" s="10"/>
      <c r="R26" s="8"/>
      <c r="S26" s="8"/>
      <c r="U26" s="1"/>
      <c r="V26" s="1"/>
      <c r="W26" s="1"/>
      <c r="X26" s="1"/>
    </row>
    <row r="27" spans="1:24" s="9" customFormat="1" ht="135.75" customHeight="1">
      <c r="A27" s="714"/>
      <c r="B27" s="721"/>
      <c r="C27" s="721" t="s">
        <v>343</v>
      </c>
      <c r="D27" s="731">
        <v>350000000</v>
      </c>
      <c r="E27" s="897">
        <f>'다. 세입내역서'!E40</f>
        <v>339960000</v>
      </c>
      <c r="F27" s="722">
        <f>E27-D27</f>
        <v>-10040000</v>
      </c>
      <c r="G27" s="919">
        <f>F27/D27*100</f>
        <v>-2.8685714285714288</v>
      </c>
      <c r="H27" s="1232"/>
      <c r="I27" s="718"/>
      <c r="J27" s="606"/>
      <c r="K27" s="606" t="s">
        <v>129</v>
      </c>
      <c r="L27" s="607">
        <v>65900000</v>
      </c>
      <c r="M27" s="607">
        <f>'라. 세출내역서'!E564</f>
        <v>107730000</v>
      </c>
      <c r="N27" s="667">
        <f t="shared" si="7"/>
        <v>41830000</v>
      </c>
      <c r="O27" s="665">
        <f t="shared" si="8"/>
        <v>63.474962063732931</v>
      </c>
      <c r="P27" s="903" t="s">
        <v>714</v>
      </c>
      <c r="Q27" s="10"/>
      <c r="R27" s="8"/>
      <c r="S27" s="7"/>
      <c r="U27" s="1"/>
      <c r="V27" s="1"/>
      <c r="W27" s="1"/>
      <c r="X27" s="1"/>
    </row>
    <row r="28" spans="1:24" s="9" customFormat="1" ht="36" customHeight="1">
      <c r="A28" s="714"/>
      <c r="B28" s="721"/>
      <c r="C28" s="721"/>
      <c r="D28" s="731"/>
      <c r="E28" s="897"/>
      <c r="F28" s="731"/>
      <c r="G28" s="890"/>
      <c r="H28" s="1232"/>
      <c r="I28" s="718"/>
      <c r="J28" s="606"/>
      <c r="K28" s="606" t="s">
        <v>130</v>
      </c>
      <c r="L28" s="607">
        <v>92000000</v>
      </c>
      <c r="M28" s="607">
        <f>'라. 세출내역서'!E580</f>
        <v>122100000</v>
      </c>
      <c r="N28" s="609">
        <f t="shared" si="7"/>
        <v>30100000</v>
      </c>
      <c r="O28" s="665">
        <f t="shared" si="8"/>
        <v>32.717391304347828</v>
      </c>
      <c r="P28" s="904" t="s">
        <v>1107</v>
      </c>
      <c r="Q28" s="10"/>
      <c r="R28" s="8"/>
      <c r="S28" s="7"/>
      <c r="U28" s="1"/>
      <c r="V28" s="1"/>
      <c r="W28" s="1"/>
      <c r="X28" s="1"/>
    </row>
    <row r="29" spans="1:24" s="9" customFormat="1" ht="18.75" customHeight="1">
      <c r="A29" s="714"/>
      <c r="B29" s="721"/>
      <c r="C29" s="721"/>
      <c r="D29" s="731"/>
      <c r="E29" s="897"/>
      <c r="F29" s="722"/>
      <c r="G29" s="890"/>
      <c r="H29" s="1232"/>
      <c r="I29" s="735" t="s">
        <v>131</v>
      </c>
      <c r="J29" s="628" t="s">
        <v>92</v>
      </c>
      <c r="K29" s="628"/>
      <c r="L29" s="623">
        <v>401372640</v>
      </c>
      <c r="M29" s="623">
        <v>408115000</v>
      </c>
      <c r="N29" s="623">
        <f>M29-L29</f>
        <v>6742360</v>
      </c>
      <c r="O29" s="666">
        <f>N29/L29*100</f>
        <v>1.6798255107772169</v>
      </c>
      <c r="P29" s="905"/>
      <c r="Q29" s="10"/>
      <c r="R29" s="8"/>
      <c r="S29" s="7"/>
      <c r="U29" s="1"/>
      <c r="V29" s="1"/>
      <c r="W29" s="1"/>
      <c r="X29" s="1"/>
    </row>
    <row r="30" spans="1:24" s="9" customFormat="1" ht="18.75" customHeight="1">
      <c r="A30" s="724" t="s">
        <v>346</v>
      </c>
      <c r="B30" s="1222" t="s">
        <v>309</v>
      </c>
      <c r="C30" s="1222"/>
      <c r="D30" s="132">
        <v>40000000</v>
      </c>
      <c r="E30" s="895">
        <f>E31</f>
        <v>40000000</v>
      </c>
      <c r="F30" s="132">
        <f t="shared" ref="E30:F31" si="9">F31</f>
        <v>0</v>
      </c>
      <c r="G30" s="893">
        <f>F30/D30*100</f>
        <v>0</v>
      </c>
      <c r="H30" s="1233"/>
      <c r="I30" s="718"/>
      <c r="J30" s="719" t="s">
        <v>120</v>
      </c>
      <c r="K30" s="719" t="s">
        <v>94</v>
      </c>
      <c r="L30" s="668">
        <v>254332640</v>
      </c>
      <c r="M30" s="668">
        <v>274239200</v>
      </c>
      <c r="N30" s="663">
        <f>M30-L30</f>
        <v>19906560</v>
      </c>
      <c r="O30" s="664">
        <f>N30/L30*100</f>
        <v>7.8269780866506169</v>
      </c>
      <c r="P30" s="888"/>
      <c r="Q30" s="10"/>
      <c r="R30" s="8"/>
      <c r="S30" s="7"/>
      <c r="U30" s="1"/>
      <c r="V30" s="1"/>
      <c r="W30" s="1"/>
      <c r="X30" s="1"/>
    </row>
    <row r="31" spans="1:24" s="9" customFormat="1" ht="21.75" customHeight="1">
      <c r="A31" s="714"/>
      <c r="B31" s="715" t="s">
        <v>346</v>
      </c>
      <c r="C31" s="715" t="s">
        <v>312</v>
      </c>
      <c r="D31" s="728">
        <v>40000000</v>
      </c>
      <c r="E31" s="896">
        <f t="shared" si="9"/>
        <v>40000000</v>
      </c>
      <c r="F31" s="728">
        <f t="shared" si="9"/>
        <v>0</v>
      </c>
      <c r="G31" s="887">
        <f>F31/D31*100</f>
        <v>0</v>
      </c>
      <c r="H31" s="1231"/>
      <c r="I31" s="718"/>
      <c r="J31" s="606"/>
      <c r="K31" s="606" t="s">
        <v>132</v>
      </c>
      <c r="L31" s="607">
        <v>209362640</v>
      </c>
      <c r="M31" s="607">
        <f>'라. 세출내역서'!E599</f>
        <v>230739200</v>
      </c>
      <c r="N31" s="609">
        <f t="shared" ref="N31:N35" si="10">M31-L31</f>
        <v>21376560</v>
      </c>
      <c r="O31" s="665">
        <f t="shared" ref="O31:O34" si="11">N31/L31*100</f>
        <v>10.210303041650603</v>
      </c>
      <c r="P31" s="894" t="s">
        <v>715</v>
      </c>
      <c r="Q31" s="10"/>
      <c r="R31" s="8"/>
      <c r="S31" s="7"/>
      <c r="U31" s="1"/>
      <c r="V31" s="1"/>
      <c r="W31" s="1"/>
      <c r="X31" s="1"/>
    </row>
    <row r="32" spans="1:24" s="7" customFormat="1" ht="27.75" customHeight="1">
      <c r="A32" s="714"/>
      <c r="B32" s="721"/>
      <c r="C32" s="721" t="s">
        <v>348</v>
      </c>
      <c r="D32" s="731">
        <v>40000000</v>
      </c>
      <c r="E32" s="897">
        <f>'다. 세입내역서'!E43</f>
        <v>40000000</v>
      </c>
      <c r="F32" s="722">
        <f>E32-D32</f>
        <v>0</v>
      </c>
      <c r="G32" s="890">
        <f>F32/D32*100</f>
        <v>0</v>
      </c>
      <c r="H32" s="1232"/>
      <c r="I32" s="718"/>
      <c r="J32" s="606"/>
      <c r="K32" s="606" t="s">
        <v>133</v>
      </c>
      <c r="L32" s="607">
        <v>37970000</v>
      </c>
      <c r="M32" s="607">
        <f>'라. 세출내역서'!E605</f>
        <v>36500000</v>
      </c>
      <c r="N32" s="609">
        <f>M32-L32</f>
        <v>-1470000</v>
      </c>
      <c r="O32" s="874">
        <f>N32/L32*100</f>
        <v>-3.871477482222808</v>
      </c>
      <c r="P32" s="894" t="s">
        <v>1090</v>
      </c>
      <c r="Q32" s="10"/>
      <c r="R32" s="8"/>
      <c r="T32" s="9"/>
      <c r="U32" s="1"/>
      <c r="V32" s="1"/>
      <c r="W32" s="1"/>
      <c r="X32" s="1"/>
    </row>
    <row r="33" spans="1:24" s="7" customFormat="1" ht="20.25" customHeight="1">
      <c r="A33" s="1235"/>
      <c r="H33" s="1236"/>
      <c r="I33" s="718"/>
      <c r="J33" s="606"/>
      <c r="K33" s="606" t="s">
        <v>134</v>
      </c>
      <c r="L33" s="607">
        <v>4000000</v>
      </c>
      <c r="M33" s="607">
        <f>'라. 세출내역서'!E610</f>
        <v>4000000</v>
      </c>
      <c r="N33" s="609">
        <f t="shared" si="10"/>
        <v>0</v>
      </c>
      <c r="O33" s="665">
        <f t="shared" si="11"/>
        <v>0</v>
      </c>
      <c r="P33" s="900"/>
      <c r="Q33" s="10"/>
      <c r="R33" s="8"/>
      <c r="T33" s="9"/>
      <c r="U33" s="1"/>
      <c r="V33" s="1"/>
      <c r="W33" s="1"/>
      <c r="X33" s="1"/>
    </row>
    <row r="34" spans="1:24" s="7" customFormat="1" ht="20.25" customHeight="1">
      <c r="A34" s="714"/>
      <c r="B34" s="721"/>
      <c r="C34" s="721"/>
      <c r="D34" s="731"/>
      <c r="E34" s="897"/>
      <c r="F34" s="731"/>
      <c r="G34" s="890"/>
      <c r="H34" s="1232"/>
      <c r="I34" s="718"/>
      <c r="J34" s="606"/>
      <c r="K34" s="606" t="s">
        <v>135</v>
      </c>
      <c r="L34" s="607">
        <v>3000000</v>
      </c>
      <c r="M34" s="607">
        <f>'라. 세출내역서'!E612</f>
        <v>3000000</v>
      </c>
      <c r="N34" s="609">
        <f t="shared" si="10"/>
        <v>0</v>
      </c>
      <c r="O34" s="665">
        <f t="shared" si="11"/>
        <v>0</v>
      </c>
      <c r="P34" s="900"/>
      <c r="Q34" s="10"/>
      <c r="R34" s="8"/>
      <c r="T34" s="9"/>
      <c r="U34" s="1"/>
      <c r="V34" s="1"/>
      <c r="W34" s="1"/>
      <c r="X34" s="1"/>
    </row>
    <row r="35" spans="1:24" s="7" customFormat="1" ht="20.25" customHeight="1">
      <c r="A35" s="724" t="s">
        <v>349</v>
      </c>
      <c r="B35" s="1222" t="s">
        <v>309</v>
      </c>
      <c r="C35" s="1222"/>
      <c r="D35" s="132">
        <v>53487000</v>
      </c>
      <c r="E35" s="132">
        <f>E36</f>
        <v>53404680</v>
      </c>
      <c r="F35" s="132">
        <f>F36</f>
        <v>-82320</v>
      </c>
      <c r="G35" s="917">
        <f>F35/D35*100</f>
        <v>-0.15390655673341186</v>
      </c>
      <c r="H35" s="1223"/>
      <c r="I35" s="718"/>
      <c r="J35" s="606"/>
      <c r="K35" s="606" t="s">
        <v>136</v>
      </c>
      <c r="L35" s="607">
        <v>0</v>
      </c>
      <c r="M35" s="607">
        <f>'라. 세출내역서'!E614</f>
        <v>0</v>
      </c>
      <c r="N35" s="609">
        <f t="shared" si="10"/>
        <v>0</v>
      </c>
      <c r="O35" s="665">
        <v>0</v>
      </c>
      <c r="P35" s="906"/>
      <c r="Q35" s="9"/>
      <c r="T35" s="9"/>
      <c r="U35" s="1"/>
      <c r="V35" s="1"/>
      <c r="W35" s="1"/>
      <c r="X35" s="1"/>
    </row>
    <row r="36" spans="1:24" s="7" customFormat="1" ht="17.25" customHeight="1">
      <c r="A36" s="714"/>
      <c r="B36" s="715" t="s">
        <v>349</v>
      </c>
      <c r="C36" s="715" t="s">
        <v>312</v>
      </c>
      <c r="D36" s="728">
        <f>SUM(D37:D41)</f>
        <v>53487000</v>
      </c>
      <c r="E36" s="728">
        <f>SUM(E37:E41)</f>
        <v>53404680</v>
      </c>
      <c r="F36" s="728">
        <f>SUM(F37:F41)</f>
        <v>-82320</v>
      </c>
      <c r="G36" s="918">
        <f>F36/D36*100</f>
        <v>-0.15390655673341186</v>
      </c>
      <c r="H36" s="1224"/>
      <c r="I36" s="718"/>
      <c r="J36" s="719" t="s">
        <v>131</v>
      </c>
      <c r="K36" s="719" t="s">
        <v>94</v>
      </c>
      <c r="L36" s="668">
        <v>145540000</v>
      </c>
      <c r="M36" s="668">
        <f>SUM(M37:M42)</f>
        <v>131055800</v>
      </c>
      <c r="N36" s="668">
        <v>-14484200</v>
      </c>
      <c r="O36" s="873">
        <f>N36/L36*100</f>
        <v>-9.95204067610279</v>
      </c>
      <c r="P36" s="907"/>
      <c r="Q36" s="9"/>
      <c r="T36" s="9"/>
      <c r="U36" s="1"/>
      <c r="V36" s="1"/>
      <c r="W36" s="1"/>
      <c r="X36" s="1"/>
    </row>
    <row r="37" spans="1:24" s="7" customFormat="1" ht="36" customHeight="1">
      <c r="A37" s="714"/>
      <c r="B37" s="721"/>
      <c r="C37" s="789" t="s">
        <v>1101</v>
      </c>
      <c r="D37" s="731">
        <f>'다. 세입내역서'!D46</f>
        <v>31287000</v>
      </c>
      <c r="E37" s="731">
        <f>'다. 세입내역서'!E46</f>
        <v>8513190</v>
      </c>
      <c r="F37" s="722">
        <f>E37-D37</f>
        <v>-22773810</v>
      </c>
      <c r="G37" s="1225">
        <f>F37/D37*100</f>
        <v>-72.790008629782335</v>
      </c>
      <c r="H37" s="898" t="s">
        <v>1095</v>
      </c>
      <c r="I37" s="718"/>
      <c r="J37" s="606"/>
      <c r="K37" s="908" t="s">
        <v>725</v>
      </c>
      <c r="L37" s="607">
        <v>89000000</v>
      </c>
      <c r="M37" s="607">
        <f>'라. 세출내역서'!E616</f>
        <v>72427000</v>
      </c>
      <c r="N37" s="609">
        <f t="shared" ref="N37:N44" si="12">M37-L37</f>
        <v>-16573000</v>
      </c>
      <c r="O37" s="874">
        <f t="shared" ref="O37:O44" si="13">N37/L37*100</f>
        <v>-18.621348314606742</v>
      </c>
      <c r="P37" s="891" t="s">
        <v>724</v>
      </c>
      <c r="Q37" s="9"/>
      <c r="T37" s="9"/>
      <c r="U37" s="1"/>
      <c r="V37" s="1"/>
      <c r="W37" s="1"/>
      <c r="X37" s="1"/>
    </row>
    <row r="38" spans="1:24" s="7" customFormat="1" ht="30" customHeight="1">
      <c r="A38" s="714"/>
      <c r="B38" s="721"/>
      <c r="C38" s="789" t="s">
        <v>1109</v>
      </c>
      <c r="D38" s="731">
        <f>'다. 세입내역서'!D47</f>
        <v>500000</v>
      </c>
      <c r="E38" s="731">
        <f>'다. 세입내역서'!E47</f>
        <v>3080563</v>
      </c>
      <c r="F38" s="722">
        <f t="shared" ref="F38:F41" si="14">E38-D38</f>
        <v>2580563</v>
      </c>
      <c r="G38" s="1225">
        <f t="shared" ref="G38:G40" si="15">F38/D38*100</f>
        <v>516.11260000000004</v>
      </c>
      <c r="H38" s="1226"/>
      <c r="I38" s="718"/>
      <c r="J38" s="606"/>
      <c r="K38" s="606" t="s">
        <v>288</v>
      </c>
      <c r="L38" s="607">
        <v>5000000</v>
      </c>
      <c r="M38" s="607">
        <f>'라. 세출내역서'!E635</f>
        <v>5000000</v>
      </c>
      <c r="N38" s="609">
        <f t="shared" si="12"/>
        <v>0</v>
      </c>
      <c r="O38" s="665">
        <f t="shared" si="13"/>
        <v>0</v>
      </c>
      <c r="P38" s="906"/>
      <c r="Q38" s="9"/>
      <c r="T38" s="9"/>
      <c r="U38" s="1"/>
      <c r="V38" s="1"/>
      <c r="W38" s="1"/>
      <c r="X38" s="1"/>
    </row>
    <row r="39" spans="1:24" s="7" customFormat="1" ht="30" customHeight="1">
      <c r="A39" s="1237"/>
      <c r="B39" s="1227"/>
      <c r="C39" s="789" t="s">
        <v>1102</v>
      </c>
      <c r="D39" s="731">
        <f>'다. 세입내역서'!D48</f>
        <v>5800000</v>
      </c>
      <c r="E39" s="731">
        <f>'다. 세입내역서'!E48</f>
        <v>19352559</v>
      </c>
      <c r="F39" s="722">
        <f t="shared" si="14"/>
        <v>13552559</v>
      </c>
      <c r="G39" s="1225">
        <f t="shared" si="15"/>
        <v>233.6648103448276</v>
      </c>
      <c r="H39" s="1228"/>
      <c r="I39" s="718"/>
      <c r="J39" s="606"/>
      <c r="K39" s="606" t="s">
        <v>289</v>
      </c>
      <c r="L39" s="607">
        <v>32840000</v>
      </c>
      <c r="M39" s="607">
        <f>'라. 세출내역서'!E637</f>
        <v>32840000</v>
      </c>
      <c r="N39" s="609">
        <f t="shared" si="12"/>
        <v>0</v>
      </c>
      <c r="O39" s="665">
        <f t="shared" si="13"/>
        <v>0</v>
      </c>
      <c r="P39" s="906"/>
      <c r="Q39" s="9"/>
      <c r="T39" s="9"/>
      <c r="U39" s="1"/>
      <c r="V39" s="1"/>
      <c r="W39" s="1"/>
      <c r="X39" s="1"/>
    </row>
    <row r="40" spans="1:24" s="7" customFormat="1" ht="30" customHeight="1">
      <c r="A40" s="1237"/>
      <c r="B40" s="1227"/>
      <c r="C40" s="781" t="s">
        <v>1103</v>
      </c>
      <c r="D40" s="731">
        <f>'다. 세입내역서'!D49</f>
        <v>15900000</v>
      </c>
      <c r="E40" s="731">
        <f>'다. 세입내역서'!E49</f>
        <v>22458368</v>
      </c>
      <c r="F40" s="722">
        <f t="shared" si="14"/>
        <v>6558368</v>
      </c>
      <c r="G40" s="1225">
        <f t="shared" si="15"/>
        <v>41.247597484276724</v>
      </c>
      <c r="H40" s="1228"/>
      <c r="I40" s="718"/>
      <c r="J40" s="606"/>
      <c r="K40" s="606" t="s">
        <v>290</v>
      </c>
      <c r="L40" s="607">
        <v>6600000</v>
      </c>
      <c r="M40" s="607">
        <f>'라. 세출내역서'!E643</f>
        <v>6600000</v>
      </c>
      <c r="N40" s="609">
        <f t="shared" si="12"/>
        <v>0</v>
      </c>
      <c r="O40" s="665">
        <f t="shared" si="13"/>
        <v>0</v>
      </c>
      <c r="P40" s="906"/>
      <c r="Q40" s="9"/>
      <c r="T40" s="9"/>
      <c r="U40" s="1"/>
      <c r="V40" s="1"/>
      <c r="W40" s="1"/>
      <c r="X40" s="1"/>
    </row>
    <row r="41" spans="1:24" s="7" customFormat="1" ht="44.25" customHeight="1">
      <c r="A41" s="1237"/>
      <c r="B41" s="1227"/>
      <c r="C41" s="795" t="s">
        <v>106</v>
      </c>
      <c r="D41" s="731">
        <f>'다. 세입내역서'!D50</f>
        <v>0</v>
      </c>
      <c r="E41" s="731">
        <f>'다. 세입내역서'!E50</f>
        <v>0</v>
      </c>
      <c r="F41" s="722">
        <f t="shared" si="14"/>
        <v>0</v>
      </c>
      <c r="G41" s="1225">
        <v>0</v>
      </c>
      <c r="H41" s="1228"/>
      <c r="I41" s="718"/>
      <c r="J41" s="606"/>
      <c r="K41" s="606" t="s">
        <v>291</v>
      </c>
      <c r="L41" s="607">
        <v>10000000</v>
      </c>
      <c r="M41" s="607">
        <f>'라. 세출내역서'!E646</f>
        <v>10000000</v>
      </c>
      <c r="N41" s="609">
        <f t="shared" si="12"/>
        <v>0</v>
      </c>
      <c r="O41" s="665">
        <f t="shared" si="13"/>
        <v>0</v>
      </c>
      <c r="P41" s="891" t="s">
        <v>1091</v>
      </c>
      <c r="Q41" s="9"/>
      <c r="T41" s="9"/>
      <c r="U41" s="1"/>
      <c r="V41" s="1"/>
      <c r="W41" s="1"/>
      <c r="X41" s="1"/>
    </row>
    <row r="42" spans="1:24" s="7" customFormat="1" ht="54" customHeight="1">
      <c r="A42" s="1237"/>
      <c r="B42" s="1227"/>
      <c r="C42" s="1227"/>
      <c r="D42" s="1227"/>
      <c r="E42" s="1227"/>
      <c r="F42" s="1227"/>
      <c r="G42" s="1227"/>
      <c r="H42" s="1228"/>
      <c r="I42" s="718"/>
      <c r="J42" s="606"/>
      <c r="K42" s="606" t="s">
        <v>292</v>
      </c>
      <c r="L42" s="607">
        <v>2100000</v>
      </c>
      <c r="M42" s="607">
        <f>'라. 세출내역서'!E650</f>
        <v>4188800</v>
      </c>
      <c r="N42" s="609">
        <f t="shared" si="12"/>
        <v>2088800</v>
      </c>
      <c r="O42" s="665">
        <f t="shared" si="13"/>
        <v>99.466666666666669</v>
      </c>
      <c r="P42" s="891" t="s">
        <v>1099</v>
      </c>
      <c r="Q42" s="9"/>
      <c r="T42" s="9"/>
      <c r="U42" s="1"/>
      <c r="V42" s="1"/>
      <c r="W42" s="1"/>
      <c r="X42" s="1"/>
    </row>
    <row r="43" spans="1:24" s="7" customFormat="1" ht="21.75" customHeight="1">
      <c r="A43" s="1237"/>
      <c r="B43" s="1227"/>
      <c r="C43" s="1227"/>
      <c r="D43" s="1227"/>
      <c r="E43" s="1227"/>
      <c r="F43" s="1227"/>
      <c r="G43" s="1227"/>
      <c r="H43" s="1228"/>
      <c r="I43" s="718"/>
      <c r="J43" s="719" t="s">
        <v>293</v>
      </c>
      <c r="K43" s="719" t="s">
        <v>94</v>
      </c>
      <c r="L43" s="668">
        <v>1500000</v>
      </c>
      <c r="M43" s="668">
        <f>M44</f>
        <v>2820000</v>
      </c>
      <c r="N43" s="663">
        <f>M43-L43</f>
        <v>1320000</v>
      </c>
      <c r="O43" s="664">
        <f>N43/L43*100</f>
        <v>88</v>
      </c>
      <c r="P43" s="907"/>
      <c r="Q43" s="9"/>
      <c r="T43" s="9"/>
      <c r="U43" s="1"/>
      <c r="V43" s="1"/>
      <c r="W43" s="1"/>
      <c r="X43" s="1"/>
    </row>
    <row r="44" spans="1:24" s="7" customFormat="1" ht="21.75" customHeight="1">
      <c r="A44" s="1237"/>
      <c r="B44" s="1227"/>
      <c r="C44" s="1227"/>
      <c r="D44" s="1227"/>
      <c r="E44" s="1227"/>
      <c r="F44" s="1227"/>
      <c r="G44" s="1227"/>
      <c r="H44" s="1228"/>
      <c r="I44" s="718"/>
      <c r="J44" s="606"/>
      <c r="K44" s="606" t="s">
        <v>294</v>
      </c>
      <c r="L44" s="607">
        <v>1500000</v>
      </c>
      <c r="M44" s="607">
        <f>'라. 세출내역서'!E654</f>
        <v>2820000</v>
      </c>
      <c r="N44" s="609">
        <f t="shared" si="12"/>
        <v>1320000</v>
      </c>
      <c r="O44" s="665">
        <f t="shared" si="13"/>
        <v>88</v>
      </c>
      <c r="P44" s="894" t="s">
        <v>717</v>
      </c>
      <c r="Q44" s="9"/>
      <c r="T44" s="9"/>
      <c r="U44" s="1"/>
      <c r="V44" s="1"/>
      <c r="W44" s="1"/>
      <c r="X44" s="1"/>
    </row>
    <row r="45" spans="1:24" s="7" customFormat="1" ht="21.75" customHeight="1">
      <c r="A45" s="724" t="s">
        <v>353</v>
      </c>
      <c r="B45" s="1222" t="s">
        <v>309</v>
      </c>
      <c r="C45" s="1222"/>
      <c r="D45" s="132">
        <v>47309180</v>
      </c>
      <c r="E45" s="895">
        <f>E46</f>
        <v>61313850</v>
      </c>
      <c r="F45" s="132">
        <f>F46</f>
        <v>14004670</v>
      </c>
      <c r="G45" s="893">
        <f>F45/D45*100</f>
        <v>29.602436567279334</v>
      </c>
      <c r="H45" s="1233"/>
      <c r="I45" s="735" t="s">
        <v>295</v>
      </c>
      <c r="J45" s="628" t="s">
        <v>92</v>
      </c>
      <c r="K45" s="628"/>
      <c r="L45" s="623">
        <v>800000</v>
      </c>
      <c r="M45" s="623">
        <f>M46</f>
        <v>1040105</v>
      </c>
      <c r="N45" s="623">
        <f>M45-L45</f>
        <v>240105</v>
      </c>
      <c r="O45" s="666">
        <f>N45/L45*100</f>
        <v>30.013125000000002</v>
      </c>
      <c r="P45" s="909"/>
      <c r="Q45" s="9"/>
      <c r="T45" s="9"/>
      <c r="U45" s="1"/>
      <c r="V45" s="1"/>
      <c r="W45" s="1"/>
      <c r="X45" s="1"/>
    </row>
    <row r="46" spans="1:24" s="7" customFormat="1" ht="21.75" customHeight="1">
      <c r="A46" s="714"/>
      <c r="B46" s="715" t="s">
        <v>353</v>
      </c>
      <c r="C46" s="715" t="s">
        <v>312</v>
      </c>
      <c r="D46" s="728">
        <v>47309180</v>
      </c>
      <c r="E46" s="896">
        <f>SUM(E47:E49)</f>
        <v>61313850</v>
      </c>
      <c r="F46" s="728">
        <f>SUM(F47:F49)</f>
        <v>14004670</v>
      </c>
      <c r="G46" s="887">
        <f>F46/D46*100</f>
        <v>29.602436567279334</v>
      </c>
      <c r="H46" s="1231"/>
      <c r="I46" s="718"/>
      <c r="J46" s="719" t="s">
        <v>295</v>
      </c>
      <c r="K46" s="719" t="s">
        <v>94</v>
      </c>
      <c r="L46" s="668">
        <v>800000</v>
      </c>
      <c r="M46" s="668">
        <f>M47</f>
        <v>1040105</v>
      </c>
      <c r="N46" s="663">
        <f>M46-L46</f>
        <v>240105</v>
      </c>
      <c r="O46" s="664">
        <f>N46/L46*100</f>
        <v>30.013125000000002</v>
      </c>
      <c r="P46" s="907"/>
      <c r="Q46" s="9"/>
      <c r="T46" s="9"/>
      <c r="U46" s="1"/>
      <c r="V46" s="1"/>
      <c r="W46" s="1"/>
      <c r="X46" s="1"/>
    </row>
    <row r="47" spans="1:24" s="7" customFormat="1" ht="42" customHeight="1">
      <c r="A47" s="714"/>
      <c r="B47" s="721"/>
      <c r="C47" s="721" t="s">
        <v>356</v>
      </c>
      <c r="D47" s="731">
        <v>500000</v>
      </c>
      <c r="E47" s="897">
        <f>'다. 세입내역서'!E53</f>
        <v>500000</v>
      </c>
      <c r="F47" s="722">
        <f>E47-D47</f>
        <v>0</v>
      </c>
      <c r="G47" s="890">
        <f>F47/D47*100</f>
        <v>0</v>
      </c>
      <c r="H47" s="1232"/>
      <c r="I47" s="718"/>
      <c r="J47" s="606"/>
      <c r="K47" s="606" t="s">
        <v>295</v>
      </c>
      <c r="L47" s="607">
        <v>800000</v>
      </c>
      <c r="M47" s="607">
        <f>'라. 세출내역서'!E658</f>
        <v>1040105</v>
      </c>
      <c r="N47" s="609">
        <f t="shared" ref="N47" si="16">M47-L47</f>
        <v>240105</v>
      </c>
      <c r="O47" s="665">
        <f t="shared" ref="O47" si="17">N47/L47*100</f>
        <v>30.013125000000002</v>
      </c>
      <c r="P47" s="891" t="s">
        <v>1092</v>
      </c>
      <c r="Q47" s="9"/>
      <c r="T47" s="9"/>
      <c r="U47" s="1"/>
      <c r="V47" s="1"/>
      <c r="W47" s="1"/>
      <c r="X47" s="1"/>
    </row>
    <row r="48" spans="1:24" ht="21.75" customHeight="1">
      <c r="A48" s="714"/>
      <c r="B48" s="721"/>
      <c r="C48" s="721" t="s">
        <v>358</v>
      </c>
      <c r="D48" s="731">
        <v>1759180</v>
      </c>
      <c r="E48" s="897">
        <f>'다. 세입내역서'!E54</f>
        <v>1763850</v>
      </c>
      <c r="F48" s="722">
        <f>E48-D48</f>
        <v>4670</v>
      </c>
      <c r="G48" s="890">
        <f>F48/D48*100</f>
        <v>0.26546459145738355</v>
      </c>
      <c r="H48" s="1232"/>
      <c r="I48" s="735" t="s">
        <v>138</v>
      </c>
      <c r="J48" s="628" t="s">
        <v>92</v>
      </c>
      <c r="K48" s="628"/>
      <c r="L48" s="623">
        <v>609180</v>
      </c>
      <c r="M48" s="623">
        <f>M49</f>
        <v>615340</v>
      </c>
      <c r="N48" s="623">
        <f>M48-L48</f>
        <v>6160</v>
      </c>
      <c r="O48" s="666">
        <f>N48/L48*100</f>
        <v>1.0111953773925604</v>
      </c>
      <c r="P48" s="909"/>
    </row>
    <row r="49" spans="1:16" ht="38.25" customHeight="1">
      <c r="A49" s="714"/>
      <c r="B49" s="721"/>
      <c r="C49" s="721" t="s">
        <v>359</v>
      </c>
      <c r="D49" s="731">
        <v>45050000</v>
      </c>
      <c r="E49" s="897">
        <f>'다. 세입내역서'!E55</f>
        <v>59050000</v>
      </c>
      <c r="F49" s="722">
        <f>E49-D49</f>
        <v>14000000</v>
      </c>
      <c r="G49" s="890">
        <f>F49/D49*100</f>
        <v>31.076581576026634</v>
      </c>
      <c r="H49" s="898" t="s">
        <v>720</v>
      </c>
      <c r="I49" s="718"/>
      <c r="J49" s="719" t="s">
        <v>138</v>
      </c>
      <c r="K49" s="719" t="s">
        <v>94</v>
      </c>
      <c r="L49" s="668">
        <v>609180</v>
      </c>
      <c r="M49" s="668">
        <f>M50</f>
        <v>615340</v>
      </c>
      <c r="N49" s="663">
        <f>M49-L49</f>
        <v>6160</v>
      </c>
      <c r="O49" s="664">
        <f>N49/L49*100</f>
        <v>1.0111953773925604</v>
      </c>
      <c r="P49" s="907"/>
    </row>
    <row r="50" spans="1:16" ht="21.75" customHeight="1">
      <c r="A50" s="714"/>
      <c r="B50" s="721"/>
      <c r="C50" s="721"/>
      <c r="D50" s="744"/>
      <c r="E50" s="911"/>
      <c r="F50" s="744"/>
      <c r="G50" s="890"/>
      <c r="H50" s="1232"/>
      <c r="I50" s="718"/>
      <c r="J50" s="606"/>
      <c r="K50" s="606" t="s">
        <v>138</v>
      </c>
      <c r="L50" s="607">
        <v>609180</v>
      </c>
      <c r="M50" s="607">
        <f>'라. 세출내역서'!E664</f>
        <v>615340</v>
      </c>
      <c r="N50" s="609">
        <f t="shared" ref="N50" si="18">M50-L50</f>
        <v>6160</v>
      </c>
      <c r="O50" s="665">
        <f t="shared" ref="O50" si="19">N50/L50*100</f>
        <v>1.0111953773925604</v>
      </c>
      <c r="P50" s="906"/>
    </row>
    <row r="51" spans="1:16" ht="21.75" customHeight="1">
      <c r="A51" s="714"/>
      <c r="B51" s="721"/>
      <c r="C51" s="721"/>
      <c r="D51" s="744"/>
      <c r="E51" s="911"/>
      <c r="F51" s="744"/>
      <c r="G51" s="890"/>
      <c r="H51" s="1232"/>
      <c r="I51" s="735" t="s">
        <v>139</v>
      </c>
      <c r="J51" s="628" t="s">
        <v>92</v>
      </c>
      <c r="K51" s="628"/>
      <c r="L51" s="623">
        <v>31287000</v>
      </c>
      <c r="M51" s="623">
        <f>M52</f>
        <v>8513190</v>
      </c>
      <c r="N51" s="623">
        <f>M51-L51</f>
        <v>-22773810</v>
      </c>
      <c r="O51" s="875">
        <f>N51/L51*100</f>
        <v>-72.790008629782335</v>
      </c>
      <c r="P51" s="909"/>
    </row>
    <row r="52" spans="1:16" ht="21.75" customHeight="1">
      <c r="A52" s="714"/>
      <c r="B52" s="721"/>
      <c r="C52" s="721"/>
      <c r="D52" s="744"/>
      <c r="E52" s="911"/>
      <c r="F52" s="744"/>
      <c r="G52" s="890"/>
      <c r="H52" s="1232"/>
      <c r="I52" s="718"/>
      <c r="J52" s="719" t="s">
        <v>139</v>
      </c>
      <c r="K52" s="719" t="s">
        <v>94</v>
      </c>
      <c r="L52" s="668">
        <v>31287000</v>
      </c>
      <c r="M52" s="668">
        <f>M53</f>
        <v>8513190</v>
      </c>
      <c r="N52" s="663">
        <f>M52-L52</f>
        <v>-22773810</v>
      </c>
      <c r="O52" s="873">
        <f>N52/L52*100</f>
        <v>-72.790008629782335</v>
      </c>
      <c r="P52" s="907"/>
    </row>
    <row r="53" spans="1:16" ht="21.75" customHeight="1">
      <c r="A53" s="745"/>
      <c r="B53" s="746"/>
      <c r="C53" s="746"/>
      <c r="D53" s="747"/>
      <c r="E53" s="912"/>
      <c r="F53" s="747"/>
      <c r="G53" s="913"/>
      <c r="H53" s="1238"/>
      <c r="I53" s="914"/>
      <c r="J53" s="750"/>
      <c r="K53" s="750" t="s">
        <v>296</v>
      </c>
      <c r="L53" s="915">
        <v>31287000</v>
      </c>
      <c r="M53" s="915">
        <f>'라. 세출내역서'!E668</f>
        <v>8513190</v>
      </c>
      <c r="N53" s="651">
        <f t="shared" ref="N53" si="20">M53-L53</f>
        <v>-22773810</v>
      </c>
      <c r="O53" s="876">
        <f t="shared" ref="O53" si="21">N53/L53*100</f>
        <v>-72.790008629782335</v>
      </c>
      <c r="P53" s="916" t="s">
        <v>718</v>
      </c>
    </row>
    <row r="54" spans="1:16" ht="12.95" customHeight="1">
      <c r="A54" s="3"/>
      <c r="B54" s="3"/>
      <c r="C54" s="3"/>
      <c r="I54" s="135"/>
      <c r="J54" s="135"/>
      <c r="K54" s="136"/>
      <c r="L54" s="137"/>
      <c r="M54" s="137"/>
      <c r="N54" s="137"/>
      <c r="O54" s="137"/>
    </row>
    <row r="55" spans="1:16" ht="12.95" customHeight="1">
      <c r="I55" s="138"/>
      <c r="J55" s="138"/>
      <c r="K55" s="139"/>
      <c r="L55" s="137"/>
      <c r="M55" s="137"/>
      <c r="N55" s="137"/>
      <c r="O55" s="137"/>
    </row>
    <row r="56" spans="1:16" ht="12.95" customHeight="1">
      <c r="I56" s="138"/>
      <c r="J56" s="138"/>
      <c r="K56" s="139"/>
      <c r="L56" s="137"/>
      <c r="M56" s="137"/>
      <c r="N56" s="137"/>
      <c r="O56" s="137"/>
    </row>
    <row r="57" spans="1:16" ht="12.95" customHeight="1">
      <c r="I57" s="31"/>
      <c r="J57" s="31"/>
      <c r="K57" s="32"/>
      <c r="L57" s="6"/>
      <c r="N57" s="6"/>
      <c r="O57" s="6"/>
    </row>
    <row r="58" spans="1:16" ht="12.95" customHeight="1">
      <c r="I58" s="31"/>
      <c r="J58" s="31"/>
      <c r="K58" s="32"/>
      <c r="L58" s="6"/>
      <c r="N58" s="6"/>
      <c r="O58" s="6"/>
    </row>
  </sheetData>
  <mergeCells count="21">
    <mergeCell ref="D4:D5"/>
    <mergeCell ref="E4:E5"/>
    <mergeCell ref="F4:F5"/>
    <mergeCell ref="G4:G5"/>
    <mergeCell ref="I4:K4"/>
    <mergeCell ref="A1:P1"/>
    <mergeCell ref="B7:C7"/>
    <mergeCell ref="B10:C10"/>
    <mergeCell ref="B13:C13"/>
    <mergeCell ref="A3:H3"/>
    <mergeCell ref="H4:H5"/>
    <mergeCell ref="P4:P5"/>
    <mergeCell ref="L4:L5"/>
    <mergeCell ref="M4:M5"/>
    <mergeCell ref="N4:N5"/>
    <mergeCell ref="O4:O5"/>
    <mergeCell ref="A6:C6"/>
    <mergeCell ref="I6:K6"/>
    <mergeCell ref="N2:O2"/>
    <mergeCell ref="I3:O3"/>
    <mergeCell ref="A4:C4"/>
  </mergeCells>
  <phoneticPr fontId="7" type="noConversion"/>
  <printOptions horizontalCentered="1"/>
  <pageMargins left="0.13" right="0.14000000000000001" top="0.33" bottom="0.13" header="0.2" footer="0.13"/>
  <pageSetup paperSize="9" scale="69" fitToHeight="0" orientation="landscape" horizontalDpi="4294967293" verticalDpi="4294967293" r:id="rId1"/>
  <headerFooter alignWithMargins="0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202"/>
  <sheetViews>
    <sheetView topLeftCell="A150" zoomScaleNormal="100" workbookViewId="0">
      <selection activeCell="K188" sqref="K188"/>
    </sheetView>
  </sheetViews>
  <sheetFormatPr defaultRowHeight="13.5"/>
  <cols>
    <col min="1" max="1" width="6.5" bestFit="1" customWidth="1"/>
    <col min="2" max="2" width="10.625" customWidth="1"/>
    <col min="3" max="3" width="8.25" style="13" customWidth="1"/>
    <col min="4" max="5" width="5.375" style="13" customWidth="1"/>
    <col min="6" max="6" width="6.25" customWidth="1"/>
    <col min="7" max="7" width="13.5" style="45" customWidth="1"/>
    <col min="8" max="8" width="17.25" customWidth="1"/>
    <col min="9" max="9" width="13.75" customWidth="1"/>
    <col min="10" max="10" width="11.75" customWidth="1"/>
    <col min="11" max="11" width="12.625" style="13" customWidth="1"/>
    <col min="12" max="12" width="12.5" customWidth="1"/>
    <col min="13" max="13" width="11.5" style="13" customWidth="1"/>
    <col min="14" max="14" width="12.125" customWidth="1"/>
    <col min="15" max="15" width="12.875" customWidth="1"/>
    <col min="16" max="16" width="14.125" style="13" customWidth="1"/>
    <col min="17" max="17" width="11.75" style="13" customWidth="1"/>
    <col min="18" max="18" width="12.25" style="13" customWidth="1"/>
    <col min="19" max="19" width="10.625" style="13" customWidth="1"/>
    <col min="20" max="20" width="14.875" style="13" customWidth="1"/>
    <col min="21" max="21" width="11.75" style="13" customWidth="1"/>
    <col min="22" max="22" width="12.625" style="13" customWidth="1"/>
    <col min="23" max="23" width="12.75" style="13" customWidth="1"/>
    <col min="24" max="24" width="14.375" style="13" customWidth="1"/>
    <col min="25" max="25" width="13" style="13" customWidth="1"/>
    <col min="26" max="26" width="12" style="13" customWidth="1"/>
    <col min="27" max="27" width="14.125" style="13" customWidth="1"/>
    <col min="28" max="28" width="9.25" bestFit="1" customWidth="1"/>
    <col min="29" max="29" width="0" hidden="1" customWidth="1"/>
    <col min="30" max="30" width="17.25" hidden="1" customWidth="1"/>
    <col min="31" max="31" width="0" hidden="1" customWidth="1"/>
  </cols>
  <sheetData>
    <row r="1" spans="1:28" ht="17.25">
      <c r="A1" s="1413" t="s">
        <v>65</v>
      </c>
      <c r="B1" s="1413"/>
      <c r="C1" s="1413"/>
      <c r="D1" s="1413"/>
      <c r="E1" s="1413"/>
      <c r="F1" s="1413"/>
      <c r="G1" s="1413"/>
      <c r="H1" s="1413"/>
      <c r="I1" s="1413"/>
      <c r="J1" s="1413"/>
      <c r="K1" s="1413"/>
      <c r="L1" s="1413"/>
      <c r="M1" s="1413"/>
      <c r="N1" s="1413"/>
      <c r="O1" s="1413"/>
      <c r="P1" s="1413"/>
      <c r="Q1" s="1413"/>
      <c r="R1" s="1413"/>
      <c r="S1" s="1413"/>
      <c r="T1" s="1413"/>
      <c r="U1" s="1413"/>
      <c r="V1" s="1413"/>
      <c r="W1" s="1413"/>
      <c r="X1" s="1413"/>
      <c r="Y1" s="1413"/>
      <c r="Z1" s="1413"/>
      <c r="AA1" s="1413"/>
      <c r="AB1" s="1413"/>
    </row>
    <row r="2" spans="1:28" ht="16.5" customHeight="1">
      <c r="A2" s="1408" t="s">
        <v>1072</v>
      </c>
      <c r="B2" s="1409"/>
      <c r="C2" s="1423"/>
      <c r="D2" s="1409"/>
      <c r="E2" s="1409"/>
      <c r="F2" s="30"/>
      <c r="G2" s="44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</row>
    <row r="3" spans="1:28" ht="20.25" customHeight="1">
      <c r="A3" s="1414" t="s">
        <v>47</v>
      </c>
      <c r="B3" s="1414" t="s">
        <v>48</v>
      </c>
      <c r="C3" s="1414" t="s">
        <v>73</v>
      </c>
      <c r="D3" s="1414" t="s">
        <v>179</v>
      </c>
      <c r="E3" s="921"/>
      <c r="F3" s="1414" t="s">
        <v>49</v>
      </c>
      <c r="G3" s="1416" t="s">
        <v>173</v>
      </c>
      <c r="H3" s="1416" t="s">
        <v>75</v>
      </c>
      <c r="I3" s="1420" t="s">
        <v>63</v>
      </c>
      <c r="J3" s="1421"/>
      <c r="K3" s="1421"/>
      <c r="L3" s="1421"/>
      <c r="M3" s="1421"/>
      <c r="N3" s="1421"/>
      <c r="O3" s="1422"/>
      <c r="P3" s="1418" t="s">
        <v>54</v>
      </c>
      <c r="Q3" s="1418" t="s">
        <v>168</v>
      </c>
      <c r="R3" s="1418" t="s">
        <v>845</v>
      </c>
      <c r="S3" s="1418" t="s">
        <v>848</v>
      </c>
      <c r="T3" s="1418" t="s">
        <v>849</v>
      </c>
      <c r="U3" s="1418" t="s">
        <v>851</v>
      </c>
      <c r="V3" s="1418" t="s">
        <v>283</v>
      </c>
      <c r="W3" s="1418" t="s">
        <v>180</v>
      </c>
      <c r="X3" s="1416" t="s">
        <v>72</v>
      </c>
      <c r="Y3" s="1420" t="s">
        <v>69</v>
      </c>
      <c r="Z3" s="1421"/>
      <c r="AA3" s="1422"/>
      <c r="AB3" s="1416" t="s">
        <v>50</v>
      </c>
    </row>
    <row r="4" spans="1:28" s="13" customFormat="1" ht="24" customHeight="1">
      <c r="A4" s="1415"/>
      <c r="B4" s="1415"/>
      <c r="C4" s="1415"/>
      <c r="D4" s="1415"/>
      <c r="E4" s="922"/>
      <c r="F4" s="1415"/>
      <c r="G4" s="1417"/>
      <c r="H4" s="1417"/>
      <c r="I4" s="923" t="s">
        <v>515</v>
      </c>
      <c r="J4" s="923" t="s">
        <v>165</v>
      </c>
      <c r="K4" s="923" t="s">
        <v>178</v>
      </c>
      <c r="L4" s="923" t="s">
        <v>166</v>
      </c>
      <c r="M4" s="924" t="s">
        <v>167</v>
      </c>
      <c r="N4" s="924" t="s">
        <v>284</v>
      </c>
      <c r="O4" s="923" t="s">
        <v>64</v>
      </c>
      <c r="P4" s="1419"/>
      <c r="Q4" s="1419"/>
      <c r="R4" s="1419"/>
      <c r="S4" s="1419"/>
      <c r="T4" s="1419"/>
      <c r="U4" s="1419"/>
      <c r="V4" s="1419"/>
      <c r="W4" s="1419"/>
      <c r="X4" s="1417"/>
      <c r="Y4" s="925" t="s">
        <v>281</v>
      </c>
      <c r="Z4" s="925" t="s">
        <v>282</v>
      </c>
      <c r="AA4" s="926" t="s">
        <v>70</v>
      </c>
      <c r="AB4" s="1417"/>
    </row>
    <row r="5" spans="1:28" ht="20.25" customHeight="1">
      <c r="A5" s="1449">
        <v>1</v>
      </c>
      <c r="B5" s="1447" t="s">
        <v>161</v>
      </c>
      <c r="C5" s="1447" t="s">
        <v>162</v>
      </c>
      <c r="D5" s="1447">
        <v>6</v>
      </c>
      <c r="E5" s="927">
        <v>5</v>
      </c>
      <c r="F5" s="928" t="s">
        <v>163</v>
      </c>
      <c r="G5" s="963">
        <v>3701000</v>
      </c>
      <c r="H5" s="964">
        <f>G5*E5</f>
        <v>18505000</v>
      </c>
      <c r="I5" s="965">
        <f>G5*60%</f>
        <v>2220600</v>
      </c>
      <c r="J5" s="966">
        <v>0</v>
      </c>
      <c r="K5" s="967">
        <f>ROUND(G5*1/209*1.5,-1)</f>
        <v>26560</v>
      </c>
      <c r="L5" s="968">
        <f>(K5*20)*E5</f>
        <v>2656000</v>
      </c>
      <c r="M5" s="968">
        <f t="shared" ref="M5:M10" si="0">(K5*5)*E5</f>
        <v>664000</v>
      </c>
      <c r="N5" s="968"/>
      <c r="O5" s="969">
        <f>SUM(I5,J5,L5,M5,N5)</f>
        <v>5540600</v>
      </c>
      <c r="P5" s="970">
        <f>ROUNDUP((H5+I5+J5+L5+M5)*1/12,-1)</f>
        <v>2003800</v>
      </c>
      <c r="Q5" s="970"/>
      <c r="R5" s="970">
        <f>ROUNDUP((H5+I5+J5+L5+M5)*3.335%,-1)</f>
        <v>801930</v>
      </c>
      <c r="S5" s="970">
        <f>ROUNDUP(R5*10.25%,-1)</f>
        <v>82200</v>
      </c>
      <c r="T5" s="970"/>
      <c r="U5" s="970"/>
      <c r="V5" s="968">
        <f t="shared" ref="V5:V36" si="1">SUM(Q5:U5)</f>
        <v>884130</v>
      </c>
      <c r="W5" s="971">
        <f t="shared" ref="W5:W36" si="2">SUM(P5,V5)</f>
        <v>2887930</v>
      </c>
      <c r="X5" s="1451">
        <f>SUM(H5,H6,W5,W6,O5,O6)</f>
        <v>64480190</v>
      </c>
      <c r="Y5" s="972">
        <f>250000*12</f>
        <v>3000000</v>
      </c>
      <c r="Z5" s="972">
        <f>50000*12</f>
        <v>600000</v>
      </c>
      <c r="AA5" s="973">
        <f>Z5+Y5</f>
        <v>3600000</v>
      </c>
      <c r="AB5" s="1449"/>
    </row>
    <row r="6" spans="1:28" s="13" customFormat="1" ht="20.25" customHeight="1">
      <c r="A6" s="1450"/>
      <c r="B6" s="1448"/>
      <c r="C6" s="1448"/>
      <c r="D6" s="1448"/>
      <c r="E6" s="929">
        <v>7</v>
      </c>
      <c r="F6" s="928" t="s">
        <v>164</v>
      </c>
      <c r="G6" s="963">
        <v>3785000</v>
      </c>
      <c r="H6" s="964">
        <f>G6*E6</f>
        <v>26495000</v>
      </c>
      <c r="I6" s="965">
        <f>G6*60%</f>
        <v>2271000</v>
      </c>
      <c r="J6" s="966">
        <v>0</v>
      </c>
      <c r="K6" s="974">
        <f>ROUND(G6*1/209*1.5,-1)</f>
        <v>27170</v>
      </c>
      <c r="L6" s="968">
        <f>(K6*20)*E6</f>
        <v>3803800</v>
      </c>
      <c r="M6" s="968">
        <f t="shared" si="0"/>
        <v>950950</v>
      </c>
      <c r="N6" s="968"/>
      <c r="O6" s="969">
        <f t="shared" ref="O6:O69" si="3">SUM(I6,J6,L6,M6,N6)</f>
        <v>7025750</v>
      </c>
      <c r="P6" s="970">
        <f t="shared" ref="P6:P69" si="4">ROUNDUP((H6+I6+J6+L6+M6)*1/12,-1)</f>
        <v>2793400</v>
      </c>
      <c r="Q6" s="970"/>
      <c r="R6" s="970">
        <f t="shared" ref="R6:R69" si="5">ROUNDUP((H6+I6+J6+L6+M6)*3.335%,-1)</f>
        <v>1117920</v>
      </c>
      <c r="S6" s="970">
        <f t="shared" ref="S6:S36" si="6">ROUNDUP(R6*10.25%,-1)</f>
        <v>114590</v>
      </c>
      <c r="T6" s="970"/>
      <c r="U6" s="970"/>
      <c r="V6" s="968">
        <f t="shared" si="1"/>
        <v>1232510</v>
      </c>
      <c r="W6" s="971">
        <f t="shared" si="2"/>
        <v>4025910</v>
      </c>
      <c r="X6" s="1452"/>
      <c r="Y6" s="975"/>
      <c r="Z6" s="975"/>
      <c r="AA6" s="976"/>
      <c r="AB6" s="1450"/>
    </row>
    <row r="7" spans="1:28" ht="20.25" customHeight="1">
      <c r="A7" s="1449">
        <v>2</v>
      </c>
      <c r="B7" s="1447" t="s">
        <v>174</v>
      </c>
      <c r="C7" s="1447" t="s">
        <v>175</v>
      </c>
      <c r="D7" s="1447">
        <v>5</v>
      </c>
      <c r="E7" s="927">
        <v>4</v>
      </c>
      <c r="F7" s="928" t="s">
        <v>176</v>
      </c>
      <c r="G7" s="963">
        <v>3763000</v>
      </c>
      <c r="H7" s="964">
        <f t="shared" ref="H7:H74" si="7">G7*E7</f>
        <v>15052000</v>
      </c>
      <c r="I7" s="965">
        <f t="shared" ref="I7:I74" si="8">G7*60%</f>
        <v>2257800</v>
      </c>
      <c r="J7" s="966">
        <f>120000*12</f>
        <v>1440000</v>
      </c>
      <c r="K7" s="967">
        <f t="shared" ref="K7:K74" si="9">ROUND(G7*1/209*1.5,-1)</f>
        <v>27010</v>
      </c>
      <c r="L7" s="968">
        <f t="shared" ref="L7:L17" si="10">(K7*20)*E7</f>
        <v>2160800</v>
      </c>
      <c r="M7" s="968">
        <f t="shared" si="0"/>
        <v>540200</v>
      </c>
      <c r="N7" s="968"/>
      <c r="O7" s="969">
        <f t="shared" si="3"/>
        <v>6398800</v>
      </c>
      <c r="P7" s="970">
        <f t="shared" si="4"/>
        <v>1787570</v>
      </c>
      <c r="Q7" s="970">
        <f>ROUND((H7+I7+J7+L7+M7)*4.5%,-1)</f>
        <v>965290</v>
      </c>
      <c r="R7" s="970">
        <f t="shared" si="5"/>
        <v>715390</v>
      </c>
      <c r="S7" s="970">
        <f t="shared" si="6"/>
        <v>73330</v>
      </c>
      <c r="T7" s="970">
        <f t="shared" ref="T7:T38" si="11">ROUND((H7+I7+J7+L7+M7)*1.05%,-1)</f>
        <v>225230</v>
      </c>
      <c r="U7" s="970">
        <f t="shared" ref="U7:U38" si="12">ROUND((H7+I7+J7+L7+M7)*0.8%,-1)</f>
        <v>171610</v>
      </c>
      <c r="V7" s="968">
        <f t="shared" si="1"/>
        <v>2150850</v>
      </c>
      <c r="W7" s="971">
        <f t="shared" si="2"/>
        <v>3938420</v>
      </c>
      <c r="X7" s="1451">
        <f>SUM(H7,H8,W7,W8,O7,O8)</f>
        <v>70821780</v>
      </c>
      <c r="Y7" s="972">
        <f t="shared" ref="Y7" si="13">250000*12</f>
        <v>3000000</v>
      </c>
      <c r="Z7" s="972">
        <f t="shared" ref="Z7" si="14">50000*12</f>
        <v>600000</v>
      </c>
      <c r="AA7" s="973">
        <f t="shared" ref="AA7" si="15">Z7+Y7</f>
        <v>3600000</v>
      </c>
      <c r="AB7" s="1449"/>
    </row>
    <row r="8" spans="1:28" s="13" customFormat="1" ht="20.25" customHeight="1">
      <c r="A8" s="1450"/>
      <c r="B8" s="1448"/>
      <c r="C8" s="1448"/>
      <c r="D8" s="1448"/>
      <c r="E8" s="929">
        <v>8</v>
      </c>
      <c r="F8" s="928" t="s">
        <v>177</v>
      </c>
      <c r="G8" s="963">
        <v>3825000</v>
      </c>
      <c r="H8" s="964">
        <f t="shared" si="7"/>
        <v>30600000</v>
      </c>
      <c r="I8" s="965">
        <f t="shared" si="8"/>
        <v>2295000</v>
      </c>
      <c r="J8" s="966">
        <v>0</v>
      </c>
      <c r="K8" s="974">
        <f t="shared" si="9"/>
        <v>27450</v>
      </c>
      <c r="L8" s="968">
        <f t="shared" si="10"/>
        <v>4392000</v>
      </c>
      <c r="M8" s="968">
        <f t="shared" si="0"/>
        <v>1098000</v>
      </c>
      <c r="N8" s="968"/>
      <c r="O8" s="969">
        <f t="shared" si="3"/>
        <v>7785000</v>
      </c>
      <c r="P8" s="970">
        <f t="shared" si="4"/>
        <v>3198750</v>
      </c>
      <c r="Q8" s="970">
        <f>ROUND((H8+I8+J8+L8+M8)*4.5%,-1)</f>
        <v>1727330</v>
      </c>
      <c r="R8" s="970">
        <f t="shared" si="5"/>
        <v>1280140</v>
      </c>
      <c r="S8" s="970">
        <f t="shared" si="6"/>
        <v>131220</v>
      </c>
      <c r="T8" s="970">
        <f t="shared" si="11"/>
        <v>403040</v>
      </c>
      <c r="U8" s="970">
        <f t="shared" si="12"/>
        <v>307080</v>
      </c>
      <c r="V8" s="968">
        <f t="shared" si="1"/>
        <v>3848810</v>
      </c>
      <c r="W8" s="971">
        <f t="shared" si="2"/>
        <v>7047560</v>
      </c>
      <c r="X8" s="1452"/>
      <c r="Y8" s="975"/>
      <c r="Z8" s="975"/>
      <c r="AA8" s="976"/>
      <c r="AB8" s="1450"/>
    </row>
    <row r="9" spans="1:28" ht="20.25" customHeight="1">
      <c r="A9" s="1449">
        <v>3</v>
      </c>
      <c r="B9" s="1397" t="s">
        <v>181</v>
      </c>
      <c r="C9" s="1447" t="s">
        <v>182</v>
      </c>
      <c r="D9" s="1447">
        <v>7</v>
      </c>
      <c r="E9" s="927">
        <v>6</v>
      </c>
      <c r="F9" s="928" t="s">
        <v>183</v>
      </c>
      <c r="G9" s="963">
        <v>3244000</v>
      </c>
      <c r="H9" s="964">
        <f t="shared" si="7"/>
        <v>19464000</v>
      </c>
      <c r="I9" s="965">
        <f t="shared" si="8"/>
        <v>1946400</v>
      </c>
      <c r="J9" s="966">
        <f>40000*12</f>
        <v>480000</v>
      </c>
      <c r="K9" s="967">
        <f t="shared" si="9"/>
        <v>23280</v>
      </c>
      <c r="L9" s="968">
        <f t="shared" si="10"/>
        <v>2793600</v>
      </c>
      <c r="M9" s="968">
        <f t="shared" si="0"/>
        <v>698400</v>
      </c>
      <c r="N9" s="968"/>
      <c r="O9" s="969">
        <f t="shared" si="3"/>
        <v>5918400</v>
      </c>
      <c r="P9" s="970">
        <f t="shared" si="4"/>
        <v>2115200</v>
      </c>
      <c r="Q9" s="970">
        <f t="shared" ref="Q9:Q72" si="16">ROUND((H9+I9+J9+L9+M9)*4.5%,-1)</f>
        <v>1142210</v>
      </c>
      <c r="R9" s="970">
        <f t="shared" si="5"/>
        <v>846510</v>
      </c>
      <c r="S9" s="970">
        <f t="shared" si="6"/>
        <v>86770</v>
      </c>
      <c r="T9" s="970">
        <f t="shared" si="11"/>
        <v>266520</v>
      </c>
      <c r="U9" s="970">
        <f t="shared" si="12"/>
        <v>203060</v>
      </c>
      <c r="V9" s="968">
        <f t="shared" si="1"/>
        <v>2545070</v>
      </c>
      <c r="W9" s="971">
        <f t="shared" si="2"/>
        <v>4660270</v>
      </c>
      <c r="X9" s="1451">
        <f t="shared" ref="X9" si="17">SUM(H9,H10,W9,W10,O9,O10)</f>
        <v>60081430</v>
      </c>
      <c r="Y9" s="972">
        <f t="shared" ref="Y9" si="18">250000*12</f>
        <v>3000000</v>
      </c>
      <c r="Z9" s="972">
        <f t="shared" ref="Z9" si="19">50000*12</f>
        <v>600000</v>
      </c>
      <c r="AA9" s="973">
        <f t="shared" ref="AA9" si="20">Z9+Y9</f>
        <v>3600000</v>
      </c>
      <c r="AB9" s="1449"/>
    </row>
    <row r="10" spans="1:28" s="13" customFormat="1" ht="20.25" customHeight="1">
      <c r="A10" s="1450"/>
      <c r="B10" s="1448"/>
      <c r="C10" s="1448"/>
      <c r="D10" s="1448"/>
      <c r="E10" s="929">
        <v>6</v>
      </c>
      <c r="F10" s="928" t="s">
        <v>184</v>
      </c>
      <c r="G10" s="963">
        <v>3306000</v>
      </c>
      <c r="H10" s="964">
        <f t="shared" si="7"/>
        <v>19836000</v>
      </c>
      <c r="I10" s="965">
        <f t="shared" si="8"/>
        <v>1983600</v>
      </c>
      <c r="J10" s="966">
        <v>0</v>
      </c>
      <c r="K10" s="974">
        <f t="shared" si="9"/>
        <v>23730</v>
      </c>
      <c r="L10" s="968">
        <f t="shared" si="10"/>
        <v>2847600</v>
      </c>
      <c r="M10" s="968">
        <f t="shared" si="0"/>
        <v>711900</v>
      </c>
      <c r="N10" s="968"/>
      <c r="O10" s="969">
        <f t="shared" si="3"/>
        <v>5543100</v>
      </c>
      <c r="P10" s="970">
        <f t="shared" si="4"/>
        <v>2114930</v>
      </c>
      <c r="Q10" s="970">
        <f t="shared" si="16"/>
        <v>1142060</v>
      </c>
      <c r="R10" s="970">
        <f t="shared" si="5"/>
        <v>846400</v>
      </c>
      <c r="S10" s="970">
        <f t="shared" si="6"/>
        <v>86760</v>
      </c>
      <c r="T10" s="970">
        <f t="shared" si="11"/>
        <v>266480</v>
      </c>
      <c r="U10" s="970">
        <f t="shared" si="12"/>
        <v>203030</v>
      </c>
      <c r="V10" s="968">
        <f t="shared" si="1"/>
        <v>2544730</v>
      </c>
      <c r="W10" s="971">
        <f t="shared" si="2"/>
        <v>4659660</v>
      </c>
      <c r="X10" s="1452"/>
      <c r="Y10" s="975"/>
      <c r="Z10" s="975"/>
      <c r="AA10" s="976"/>
      <c r="AB10" s="1450"/>
    </row>
    <row r="11" spans="1:28" ht="20.25" customHeight="1">
      <c r="A11" s="1449">
        <v>4</v>
      </c>
      <c r="B11" s="1397" t="s">
        <v>187</v>
      </c>
      <c r="C11" s="1447" t="s">
        <v>188</v>
      </c>
      <c r="D11" s="1447">
        <v>4</v>
      </c>
      <c r="E11" s="927">
        <v>3</v>
      </c>
      <c r="F11" s="928" t="s">
        <v>189</v>
      </c>
      <c r="G11" s="963">
        <v>3679000</v>
      </c>
      <c r="H11" s="964">
        <f>G11*E11</f>
        <v>11037000</v>
      </c>
      <c r="I11" s="965">
        <f t="shared" si="8"/>
        <v>2207400</v>
      </c>
      <c r="J11" s="966">
        <f>40000*12</f>
        <v>480000</v>
      </c>
      <c r="K11" s="967">
        <f t="shared" si="9"/>
        <v>26400</v>
      </c>
      <c r="L11" s="968">
        <f t="shared" si="10"/>
        <v>1584000</v>
      </c>
      <c r="M11" s="968">
        <f t="shared" ref="M11:M34" si="21">(K11*5)*E11</f>
        <v>396000</v>
      </c>
      <c r="N11" s="968"/>
      <c r="O11" s="969">
        <f t="shared" si="3"/>
        <v>4667400</v>
      </c>
      <c r="P11" s="970">
        <f t="shared" si="4"/>
        <v>1308700</v>
      </c>
      <c r="Q11" s="970">
        <f t="shared" si="16"/>
        <v>706700</v>
      </c>
      <c r="R11" s="970">
        <f t="shared" si="5"/>
        <v>523750</v>
      </c>
      <c r="S11" s="970">
        <f t="shared" si="6"/>
        <v>53690</v>
      </c>
      <c r="T11" s="970">
        <f t="shared" si="11"/>
        <v>164900</v>
      </c>
      <c r="U11" s="970">
        <f t="shared" si="12"/>
        <v>125640</v>
      </c>
      <c r="V11" s="968">
        <f t="shared" si="1"/>
        <v>1574680</v>
      </c>
      <c r="W11" s="971">
        <f t="shared" si="2"/>
        <v>2883380</v>
      </c>
      <c r="X11" s="1451">
        <f t="shared" ref="X11" si="22">SUM(H11,H12,W11,W12,O11,O12)</f>
        <v>68020510</v>
      </c>
      <c r="Y11" s="972">
        <f t="shared" ref="Y11" si="23">250000*12</f>
        <v>3000000</v>
      </c>
      <c r="Z11" s="972">
        <f t="shared" ref="Z11" si="24">50000*12</f>
        <v>600000</v>
      </c>
      <c r="AA11" s="973">
        <f t="shared" ref="AA11" si="25">Z11+Y11</f>
        <v>3600000</v>
      </c>
      <c r="AB11" s="1449"/>
    </row>
    <row r="12" spans="1:28" s="13" customFormat="1" ht="20.25" customHeight="1">
      <c r="A12" s="1450"/>
      <c r="B12" s="1448"/>
      <c r="C12" s="1448"/>
      <c r="D12" s="1448"/>
      <c r="E12" s="929">
        <v>9</v>
      </c>
      <c r="F12" s="928" t="s">
        <v>190</v>
      </c>
      <c r="G12" s="963">
        <v>3724000</v>
      </c>
      <c r="H12" s="964">
        <f t="shared" si="7"/>
        <v>33516000</v>
      </c>
      <c r="I12" s="965">
        <f t="shared" si="8"/>
        <v>2234400</v>
      </c>
      <c r="J12" s="966">
        <v>0</v>
      </c>
      <c r="K12" s="974">
        <f t="shared" si="9"/>
        <v>26730</v>
      </c>
      <c r="L12" s="968">
        <f t="shared" si="10"/>
        <v>4811400</v>
      </c>
      <c r="M12" s="968">
        <f t="shared" si="21"/>
        <v>1202850</v>
      </c>
      <c r="N12" s="968"/>
      <c r="O12" s="969">
        <f t="shared" si="3"/>
        <v>8248650</v>
      </c>
      <c r="P12" s="970">
        <f t="shared" si="4"/>
        <v>3480390</v>
      </c>
      <c r="Q12" s="970">
        <f t="shared" si="16"/>
        <v>1879410</v>
      </c>
      <c r="R12" s="970">
        <f t="shared" si="5"/>
        <v>1392860</v>
      </c>
      <c r="S12" s="970">
        <f t="shared" si="6"/>
        <v>142770</v>
      </c>
      <c r="T12" s="970">
        <f t="shared" si="11"/>
        <v>438530</v>
      </c>
      <c r="U12" s="970">
        <f t="shared" si="12"/>
        <v>334120</v>
      </c>
      <c r="V12" s="968">
        <f t="shared" si="1"/>
        <v>4187690</v>
      </c>
      <c r="W12" s="971">
        <f t="shared" si="2"/>
        <v>7668080</v>
      </c>
      <c r="X12" s="1452"/>
      <c r="Y12" s="975"/>
      <c r="Z12" s="975"/>
      <c r="AA12" s="976"/>
      <c r="AB12" s="1450"/>
    </row>
    <row r="13" spans="1:28" ht="20.25" customHeight="1">
      <c r="A13" s="1449">
        <v>5</v>
      </c>
      <c r="B13" s="1397" t="s">
        <v>202</v>
      </c>
      <c r="C13" s="1447" t="s">
        <v>203</v>
      </c>
      <c r="D13" s="1447">
        <v>11</v>
      </c>
      <c r="E13" s="927">
        <v>11</v>
      </c>
      <c r="F13" s="928" t="s">
        <v>197</v>
      </c>
      <c r="G13" s="963">
        <v>2732000</v>
      </c>
      <c r="H13" s="964">
        <f>G13*E13</f>
        <v>30052000</v>
      </c>
      <c r="I13" s="965">
        <f>(G13*60%)*2</f>
        <v>3278400</v>
      </c>
      <c r="J13" s="966">
        <f>40000*12</f>
        <v>480000</v>
      </c>
      <c r="K13" s="967">
        <f t="shared" si="9"/>
        <v>19610</v>
      </c>
      <c r="L13" s="968">
        <f t="shared" si="10"/>
        <v>4314200</v>
      </c>
      <c r="M13" s="968">
        <f t="shared" si="21"/>
        <v>1078550</v>
      </c>
      <c r="N13" s="968"/>
      <c r="O13" s="969">
        <f t="shared" si="3"/>
        <v>9151150</v>
      </c>
      <c r="P13" s="970">
        <f t="shared" si="4"/>
        <v>3266930</v>
      </c>
      <c r="Q13" s="970">
        <f t="shared" si="16"/>
        <v>1764140</v>
      </c>
      <c r="R13" s="970">
        <f t="shared" si="5"/>
        <v>1307430</v>
      </c>
      <c r="S13" s="970">
        <f t="shared" si="6"/>
        <v>134020</v>
      </c>
      <c r="T13" s="970">
        <f t="shared" si="11"/>
        <v>411630</v>
      </c>
      <c r="U13" s="970">
        <f t="shared" si="12"/>
        <v>313630</v>
      </c>
      <c r="V13" s="968">
        <f t="shared" si="1"/>
        <v>3930850</v>
      </c>
      <c r="W13" s="971">
        <f t="shared" si="2"/>
        <v>7197780</v>
      </c>
      <c r="X13" s="1451">
        <f t="shared" ref="X13" si="26">SUM(H13,H14,W13,W14,O13,O14)</f>
        <v>50315120</v>
      </c>
      <c r="Y13" s="972">
        <f t="shared" ref="Y13" si="27">250000*12</f>
        <v>3000000</v>
      </c>
      <c r="Z13" s="972">
        <f t="shared" ref="Z13" si="28">50000*12</f>
        <v>600000</v>
      </c>
      <c r="AA13" s="973">
        <f t="shared" ref="AA13" si="29">Z13+Y13</f>
        <v>3600000</v>
      </c>
      <c r="AB13" s="1449"/>
    </row>
    <row r="14" spans="1:28" s="13" customFormat="1" ht="20.25" customHeight="1">
      <c r="A14" s="1450"/>
      <c r="B14" s="1448"/>
      <c r="C14" s="1448"/>
      <c r="D14" s="1448"/>
      <c r="E14" s="929">
        <v>1</v>
      </c>
      <c r="F14" s="928" t="s">
        <v>163</v>
      </c>
      <c r="G14" s="963">
        <v>2804000</v>
      </c>
      <c r="H14" s="964">
        <f t="shared" si="7"/>
        <v>2804000</v>
      </c>
      <c r="I14" s="965">
        <v>0</v>
      </c>
      <c r="J14" s="966">
        <v>0</v>
      </c>
      <c r="K14" s="974">
        <f t="shared" si="9"/>
        <v>20120</v>
      </c>
      <c r="L14" s="968">
        <f t="shared" si="10"/>
        <v>402400</v>
      </c>
      <c r="M14" s="968">
        <f t="shared" si="21"/>
        <v>100600</v>
      </c>
      <c r="N14" s="968"/>
      <c r="O14" s="969">
        <f t="shared" si="3"/>
        <v>503000</v>
      </c>
      <c r="P14" s="970">
        <f t="shared" si="4"/>
        <v>275590</v>
      </c>
      <c r="Q14" s="970">
        <f t="shared" si="16"/>
        <v>148820</v>
      </c>
      <c r="R14" s="970">
        <f t="shared" si="5"/>
        <v>110290</v>
      </c>
      <c r="S14" s="970">
        <f t="shared" si="6"/>
        <v>11310</v>
      </c>
      <c r="T14" s="970">
        <f t="shared" si="11"/>
        <v>34720</v>
      </c>
      <c r="U14" s="970">
        <f t="shared" si="12"/>
        <v>26460</v>
      </c>
      <c r="V14" s="968">
        <f t="shared" si="1"/>
        <v>331600</v>
      </c>
      <c r="W14" s="971">
        <f t="shared" si="2"/>
        <v>607190</v>
      </c>
      <c r="X14" s="1452"/>
      <c r="Y14" s="975"/>
      <c r="Z14" s="975"/>
      <c r="AA14" s="976"/>
      <c r="AB14" s="1450"/>
    </row>
    <row r="15" spans="1:28" s="13" customFormat="1" ht="20.25" customHeight="1">
      <c r="A15" s="1449">
        <v>6</v>
      </c>
      <c r="B15" s="1397" t="s">
        <v>191</v>
      </c>
      <c r="C15" s="1447" t="s">
        <v>192</v>
      </c>
      <c r="D15" s="1447">
        <v>1</v>
      </c>
      <c r="E15" s="927">
        <v>7</v>
      </c>
      <c r="F15" s="928" t="s">
        <v>189</v>
      </c>
      <c r="G15" s="963">
        <v>3679000</v>
      </c>
      <c r="H15" s="964">
        <f>G15*E15</f>
        <v>25753000</v>
      </c>
      <c r="I15" s="965">
        <f t="shared" ref="I15:I16" si="30">G15*60%</f>
        <v>2207400</v>
      </c>
      <c r="J15" s="966">
        <f>40000*7</f>
        <v>280000</v>
      </c>
      <c r="K15" s="967">
        <f t="shared" si="9"/>
        <v>26400</v>
      </c>
      <c r="L15" s="968">
        <f t="shared" ref="L15:L16" si="31">(K15*20)*E15</f>
        <v>3696000</v>
      </c>
      <c r="M15" s="968">
        <f t="shared" ref="M15:M16" si="32">(K15*5)*E15</f>
        <v>924000</v>
      </c>
      <c r="N15" s="968"/>
      <c r="O15" s="969">
        <f t="shared" si="3"/>
        <v>7107400</v>
      </c>
      <c r="P15" s="970">
        <f t="shared" si="4"/>
        <v>2738370</v>
      </c>
      <c r="Q15" s="970">
        <f t="shared" si="16"/>
        <v>1478720</v>
      </c>
      <c r="R15" s="970">
        <f t="shared" si="5"/>
        <v>1095900</v>
      </c>
      <c r="S15" s="970">
        <f t="shared" si="6"/>
        <v>112330</v>
      </c>
      <c r="T15" s="970">
        <f t="shared" si="11"/>
        <v>345030</v>
      </c>
      <c r="U15" s="970">
        <f t="shared" si="12"/>
        <v>262880</v>
      </c>
      <c r="V15" s="968">
        <f t="shared" si="1"/>
        <v>3294860</v>
      </c>
      <c r="W15" s="971">
        <f t="shared" si="2"/>
        <v>6033230</v>
      </c>
      <c r="X15" s="1451">
        <f t="shared" ref="X15" si="33">SUM(H15,H16,W15,W16,O15,O16)</f>
        <v>38893630</v>
      </c>
      <c r="Y15" s="972">
        <f>250000*7</f>
        <v>1750000</v>
      </c>
      <c r="Z15" s="972">
        <f>50000*7</f>
        <v>350000</v>
      </c>
      <c r="AA15" s="973">
        <f t="shared" ref="AA15" si="34">Z15+Y15</f>
        <v>2100000</v>
      </c>
      <c r="AB15" s="1449" t="s">
        <v>270</v>
      </c>
    </row>
    <row r="16" spans="1:28" s="13" customFormat="1" ht="20.25" customHeight="1">
      <c r="A16" s="1450"/>
      <c r="B16" s="1448"/>
      <c r="C16" s="1448"/>
      <c r="D16" s="1448"/>
      <c r="E16" s="929"/>
      <c r="F16" s="928"/>
      <c r="G16" s="963"/>
      <c r="H16" s="964">
        <f t="shared" ref="H16" si="35">G16*E16</f>
        <v>0</v>
      </c>
      <c r="I16" s="965">
        <f t="shared" si="30"/>
        <v>0</v>
      </c>
      <c r="J16" s="966"/>
      <c r="K16" s="974">
        <f t="shared" si="9"/>
        <v>0</v>
      </c>
      <c r="L16" s="968">
        <f t="shared" si="31"/>
        <v>0</v>
      </c>
      <c r="M16" s="968">
        <f t="shared" si="32"/>
        <v>0</v>
      </c>
      <c r="N16" s="968"/>
      <c r="O16" s="969">
        <f t="shared" si="3"/>
        <v>0</v>
      </c>
      <c r="P16" s="970">
        <f t="shared" si="4"/>
        <v>0</v>
      </c>
      <c r="Q16" s="970">
        <f t="shared" si="16"/>
        <v>0</v>
      </c>
      <c r="R16" s="970">
        <f t="shared" si="5"/>
        <v>0</v>
      </c>
      <c r="S16" s="970">
        <f t="shared" si="6"/>
        <v>0</v>
      </c>
      <c r="T16" s="970">
        <f t="shared" si="11"/>
        <v>0</v>
      </c>
      <c r="U16" s="970">
        <f t="shared" si="12"/>
        <v>0</v>
      </c>
      <c r="V16" s="968">
        <f t="shared" si="1"/>
        <v>0</v>
      </c>
      <c r="W16" s="971">
        <f t="shared" si="2"/>
        <v>0</v>
      </c>
      <c r="X16" s="1452"/>
      <c r="Y16" s="975"/>
      <c r="Z16" s="975"/>
      <c r="AA16" s="976"/>
      <c r="AB16" s="1450"/>
    </row>
    <row r="17" spans="1:28" s="13" customFormat="1" ht="20.25" customHeight="1">
      <c r="A17" s="1449">
        <v>7</v>
      </c>
      <c r="B17" s="1397" t="s">
        <v>193</v>
      </c>
      <c r="C17" s="1447" t="s">
        <v>263</v>
      </c>
      <c r="D17" s="1447">
        <v>12</v>
      </c>
      <c r="E17" s="927">
        <v>3</v>
      </c>
      <c r="F17" s="928" t="s">
        <v>201</v>
      </c>
      <c r="G17" s="963">
        <v>2358000</v>
      </c>
      <c r="H17" s="964">
        <f>G17*E17</f>
        <v>7074000</v>
      </c>
      <c r="I17" s="965">
        <f t="shared" ref="I17:I24" si="36">G17*60%</f>
        <v>1414800</v>
      </c>
      <c r="J17" s="966">
        <f>40000*4</f>
        <v>160000</v>
      </c>
      <c r="K17" s="967">
        <f t="shared" ref="K17:K24" si="37">ROUND(G17*1/209*1.5,-1)</f>
        <v>16920</v>
      </c>
      <c r="L17" s="968">
        <f t="shared" si="10"/>
        <v>1015200</v>
      </c>
      <c r="M17" s="968">
        <f t="shared" si="21"/>
        <v>253800</v>
      </c>
      <c r="N17" s="968">
        <v>0</v>
      </c>
      <c r="O17" s="969">
        <f t="shared" si="3"/>
        <v>2843800</v>
      </c>
      <c r="P17" s="970">
        <f t="shared" si="4"/>
        <v>826490</v>
      </c>
      <c r="Q17" s="970">
        <f t="shared" si="16"/>
        <v>446300</v>
      </c>
      <c r="R17" s="970">
        <f t="shared" si="5"/>
        <v>330760</v>
      </c>
      <c r="S17" s="970">
        <f t="shared" si="6"/>
        <v>33910</v>
      </c>
      <c r="T17" s="970">
        <f t="shared" si="11"/>
        <v>104140</v>
      </c>
      <c r="U17" s="970">
        <f t="shared" si="12"/>
        <v>79340</v>
      </c>
      <c r="V17" s="968">
        <f t="shared" si="1"/>
        <v>994450</v>
      </c>
      <c r="W17" s="971">
        <f t="shared" si="2"/>
        <v>1820940</v>
      </c>
      <c r="X17" s="1451">
        <f t="shared" ref="X17:X79" si="38">SUM(H17,H18,W17,W18,O17,O18)</f>
        <v>15178300</v>
      </c>
      <c r="Y17" s="972">
        <f>250000*4</f>
        <v>1000000</v>
      </c>
      <c r="Z17" s="972">
        <f>50000*4</f>
        <v>200000</v>
      </c>
      <c r="AA17" s="973">
        <f t="shared" ref="AA17" si="39">Z17+Y17</f>
        <v>1200000</v>
      </c>
      <c r="AB17" s="1449" t="s">
        <v>280</v>
      </c>
    </row>
    <row r="18" spans="1:28" s="13" customFormat="1" ht="20.25" customHeight="1">
      <c r="A18" s="1450"/>
      <c r="B18" s="1448"/>
      <c r="C18" s="1448"/>
      <c r="D18" s="1448"/>
      <c r="E18" s="929">
        <v>1</v>
      </c>
      <c r="F18" s="928" t="s">
        <v>229</v>
      </c>
      <c r="G18" s="963">
        <v>2464000</v>
      </c>
      <c r="H18" s="964">
        <f t="shared" ref="H18:H24" si="40">G18*E18</f>
        <v>2464000</v>
      </c>
      <c r="I18" s="965"/>
      <c r="J18" s="966"/>
      <c r="K18" s="974">
        <f t="shared" si="37"/>
        <v>17680</v>
      </c>
      <c r="L18" s="968">
        <f t="shared" ref="L18:L34" si="41">(K18*20)*E18</f>
        <v>353600</v>
      </c>
      <c r="M18" s="968">
        <f t="shared" si="21"/>
        <v>88400</v>
      </c>
      <c r="N18" s="968"/>
      <c r="O18" s="969">
        <f t="shared" si="3"/>
        <v>442000</v>
      </c>
      <c r="P18" s="970">
        <f t="shared" si="4"/>
        <v>242170</v>
      </c>
      <c r="Q18" s="970">
        <f t="shared" si="16"/>
        <v>130770</v>
      </c>
      <c r="R18" s="970">
        <f t="shared" si="5"/>
        <v>96920</v>
      </c>
      <c r="S18" s="970">
        <f t="shared" si="6"/>
        <v>9940</v>
      </c>
      <c r="T18" s="970">
        <f t="shared" si="11"/>
        <v>30510</v>
      </c>
      <c r="U18" s="970">
        <f t="shared" si="12"/>
        <v>23250</v>
      </c>
      <c r="V18" s="968">
        <f t="shared" si="1"/>
        <v>291390</v>
      </c>
      <c r="W18" s="971">
        <f t="shared" si="2"/>
        <v>533560</v>
      </c>
      <c r="X18" s="1452"/>
      <c r="Y18" s="975"/>
      <c r="Z18" s="975"/>
      <c r="AA18" s="976"/>
      <c r="AB18" s="1450"/>
    </row>
    <row r="19" spans="1:28" s="13" customFormat="1" ht="20.25" customHeight="1">
      <c r="A19" s="1449">
        <v>8</v>
      </c>
      <c r="B19" s="1449" t="s">
        <v>194</v>
      </c>
      <c r="C19" s="1449" t="s">
        <v>195</v>
      </c>
      <c r="D19" s="1447">
        <v>4</v>
      </c>
      <c r="E19" s="927">
        <f>D19-1</f>
        <v>3</v>
      </c>
      <c r="F19" s="930" t="s">
        <v>196</v>
      </c>
      <c r="G19" s="977">
        <v>2880000</v>
      </c>
      <c r="H19" s="964">
        <f t="shared" si="40"/>
        <v>8640000</v>
      </c>
      <c r="I19" s="965">
        <f t="shared" si="36"/>
        <v>1728000</v>
      </c>
      <c r="J19" s="966">
        <f>60000*12</f>
        <v>720000</v>
      </c>
      <c r="K19" s="967">
        <f t="shared" si="37"/>
        <v>20670</v>
      </c>
      <c r="L19" s="968">
        <f t="shared" si="41"/>
        <v>1240200</v>
      </c>
      <c r="M19" s="968">
        <f t="shared" si="21"/>
        <v>310050</v>
      </c>
      <c r="N19" s="968"/>
      <c r="O19" s="969">
        <f t="shared" si="3"/>
        <v>3998250</v>
      </c>
      <c r="P19" s="970">
        <f t="shared" si="4"/>
        <v>1053190</v>
      </c>
      <c r="Q19" s="970">
        <f t="shared" si="16"/>
        <v>568720</v>
      </c>
      <c r="R19" s="970">
        <f t="shared" si="5"/>
        <v>421490</v>
      </c>
      <c r="S19" s="970">
        <f t="shared" si="6"/>
        <v>43210</v>
      </c>
      <c r="T19" s="970">
        <f t="shared" si="11"/>
        <v>132700</v>
      </c>
      <c r="U19" s="970">
        <f t="shared" si="12"/>
        <v>101110</v>
      </c>
      <c r="V19" s="968">
        <f t="shared" si="1"/>
        <v>1267230</v>
      </c>
      <c r="W19" s="971">
        <f t="shared" si="2"/>
        <v>2320420</v>
      </c>
      <c r="X19" s="1451">
        <f t="shared" si="38"/>
        <v>54276400</v>
      </c>
      <c r="Y19" s="972">
        <f t="shared" ref="Y19" si="42">250000*12</f>
        <v>3000000</v>
      </c>
      <c r="Z19" s="972">
        <f t="shared" ref="Z19" si="43">50000*12</f>
        <v>600000</v>
      </c>
      <c r="AA19" s="973">
        <f t="shared" ref="AA19" si="44">Z19+Y19</f>
        <v>3600000</v>
      </c>
      <c r="AB19" s="1449"/>
    </row>
    <row r="20" spans="1:28" s="13" customFormat="1" ht="20.25" customHeight="1">
      <c r="A20" s="1450"/>
      <c r="B20" s="1450"/>
      <c r="C20" s="1450"/>
      <c r="D20" s="1448"/>
      <c r="E20" s="929">
        <v>9</v>
      </c>
      <c r="F20" s="930" t="s">
        <v>197</v>
      </c>
      <c r="G20" s="977">
        <v>2962000</v>
      </c>
      <c r="H20" s="964">
        <f t="shared" si="40"/>
        <v>26658000</v>
      </c>
      <c r="I20" s="965">
        <f t="shared" si="36"/>
        <v>1777200</v>
      </c>
      <c r="J20" s="966"/>
      <c r="K20" s="974">
        <f t="shared" si="37"/>
        <v>21260</v>
      </c>
      <c r="L20" s="968">
        <f t="shared" si="41"/>
        <v>3826800</v>
      </c>
      <c r="M20" s="968">
        <f t="shared" si="21"/>
        <v>956700</v>
      </c>
      <c r="N20" s="968"/>
      <c r="O20" s="969">
        <f t="shared" si="3"/>
        <v>6560700</v>
      </c>
      <c r="P20" s="970">
        <f t="shared" si="4"/>
        <v>2768230</v>
      </c>
      <c r="Q20" s="970">
        <f t="shared" si="16"/>
        <v>1494840</v>
      </c>
      <c r="R20" s="970">
        <f t="shared" si="5"/>
        <v>1107850</v>
      </c>
      <c r="S20" s="970">
        <f t="shared" si="6"/>
        <v>113560</v>
      </c>
      <c r="T20" s="970">
        <f t="shared" si="11"/>
        <v>348800</v>
      </c>
      <c r="U20" s="970">
        <f t="shared" si="12"/>
        <v>265750</v>
      </c>
      <c r="V20" s="968">
        <f t="shared" si="1"/>
        <v>3330800</v>
      </c>
      <c r="W20" s="971">
        <f t="shared" si="2"/>
        <v>6099030</v>
      </c>
      <c r="X20" s="1452"/>
      <c r="Y20" s="975"/>
      <c r="Z20" s="975"/>
      <c r="AA20" s="976"/>
      <c r="AB20" s="1450"/>
    </row>
    <row r="21" spans="1:28" s="13" customFormat="1" ht="20.25" customHeight="1">
      <c r="A21" s="1449">
        <v>9</v>
      </c>
      <c r="B21" s="1449" t="s">
        <v>198</v>
      </c>
      <c r="C21" s="1449" t="s">
        <v>261</v>
      </c>
      <c r="D21" s="1447">
        <v>10</v>
      </c>
      <c r="E21" s="927">
        <v>2</v>
      </c>
      <c r="F21" s="930" t="s">
        <v>200</v>
      </c>
      <c r="G21" s="977">
        <v>2182000</v>
      </c>
      <c r="H21" s="964">
        <f t="shared" ref="H21:H22" si="45">G21*E21</f>
        <v>4364000</v>
      </c>
      <c r="I21" s="965">
        <f t="shared" ref="I21:I22" si="46">G21*60%</f>
        <v>1309200</v>
      </c>
      <c r="J21" s="966">
        <f>40000*2</f>
        <v>80000</v>
      </c>
      <c r="K21" s="967">
        <f t="shared" ref="K21:K22" si="47">ROUND(G21*1/209*1.5,-1)</f>
        <v>15660</v>
      </c>
      <c r="L21" s="968">
        <f t="shared" ref="L21:L22" si="48">(K21*20)*E21</f>
        <v>626400</v>
      </c>
      <c r="M21" s="968">
        <f t="shared" ref="M21:M22" si="49">(K21*5)*E21</f>
        <v>156600</v>
      </c>
      <c r="N21" s="968"/>
      <c r="O21" s="969">
        <f t="shared" si="3"/>
        <v>2172200</v>
      </c>
      <c r="P21" s="970">
        <f t="shared" si="4"/>
        <v>544690</v>
      </c>
      <c r="Q21" s="970">
        <f t="shared" si="16"/>
        <v>294130</v>
      </c>
      <c r="R21" s="970">
        <f t="shared" si="5"/>
        <v>217990</v>
      </c>
      <c r="S21" s="970">
        <f t="shared" si="6"/>
        <v>22350</v>
      </c>
      <c r="T21" s="970">
        <f t="shared" si="11"/>
        <v>68630</v>
      </c>
      <c r="U21" s="970">
        <f t="shared" si="12"/>
        <v>52290</v>
      </c>
      <c r="V21" s="968">
        <f t="shared" si="1"/>
        <v>655390</v>
      </c>
      <c r="W21" s="971">
        <f t="shared" si="2"/>
        <v>1200080</v>
      </c>
      <c r="X21" s="1451">
        <f t="shared" si="38"/>
        <v>7736280</v>
      </c>
      <c r="Y21" s="972">
        <f>200000*2</f>
        <v>400000</v>
      </c>
      <c r="Z21" s="972">
        <f>50000*2</f>
        <v>100000</v>
      </c>
      <c r="AA21" s="973">
        <f t="shared" ref="AA21" si="50">Z21+Y21</f>
        <v>500000</v>
      </c>
      <c r="AB21" s="1449" t="s">
        <v>262</v>
      </c>
    </row>
    <row r="22" spans="1:28" s="13" customFormat="1" ht="20.25" customHeight="1">
      <c r="A22" s="1450"/>
      <c r="B22" s="1450"/>
      <c r="C22" s="1450"/>
      <c r="D22" s="1448"/>
      <c r="E22" s="929"/>
      <c r="F22" s="930"/>
      <c r="G22" s="977"/>
      <c r="H22" s="964">
        <f t="shared" si="45"/>
        <v>0</v>
      </c>
      <c r="I22" s="965">
        <f t="shared" si="46"/>
        <v>0</v>
      </c>
      <c r="J22" s="966"/>
      <c r="K22" s="974">
        <f t="shared" si="47"/>
        <v>0</v>
      </c>
      <c r="L22" s="968">
        <f t="shared" si="48"/>
        <v>0</v>
      </c>
      <c r="M22" s="968">
        <f t="shared" si="49"/>
        <v>0</v>
      </c>
      <c r="N22" s="968"/>
      <c r="O22" s="969">
        <f t="shared" si="3"/>
        <v>0</v>
      </c>
      <c r="P22" s="970">
        <f t="shared" si="4"/>
        <v>0</v>
      </c>
      <c r="Q22" s="970">
        <f t="shared" si="16"/>
        <v>0</v>
      </c>
      <c r="R22" s="970">
        <f t="shared" si="5"/>
        <v>0</v>
      </c>
      <c r="S22" s="970">
        <f t="shared" si="6"/>
        <v>0</v>
      </c>
      <c r="T22" s="970">
        <f t="shared" si="11"/>
        <v>0</v>
      </c>
      <c r="U22" s="970">
        <f t="shared" si="12"/>
        <v>0</v>
      </c>
      <c r="V22" s="968">
        <f t="shared" si="1"/>
        <v>0</v>
      </c>
      <c r="W22" s="971">
        <f t="shared" si="2"/>
        <v>0</v>
      </c>
      <c r="X22" s="1452"/>
      <c r="Y22" s="975"/>
      <c r="Z22" s="975"/>
      <c r="AA22" s="976"/>
      <c r="AB22" s="1450"/>
    </row>
    <row r="23" spans="1:28" s="13" customFormat="1" ht="20.25" customHeight="1">
      <c r="A23" s="1449">
        <v>10</v>
      </c>
      <c r="B23" s="1449" t="s">
        <v>198</v>
      </c>
      <c r="C23" s="1449" t="s">
        <v>199</v>
      </c>
      <c r="D23" s="1447">
        <v>2</v>
      </c>
      <c r="E23" s="927">
        <v>9</v>
      </c>
      <c r="F23" s="930" t="s">
        <v>201</v>
      </c>
      <c r="G23" s="977">
        <v>2358000</v>
      </c>
      <c r="H23" s="964">
        <f t="shared" si="40"/>
        <v>21222000</v>
      </c>
      <c r="I23" s="965">
        <f t="shared" si="36"/>
        <v>1414800</v>
      </c>
      <c r="J23" s="966">
        <f>40000*9</f>
        <v>360000</v>
      </c>
      <c r="K23" s="967">
        <f t="shared" si="37"/>
        <v>16920</v>
      </c>
      <c r="L23" s="968">
        <f t="shared" si="41"/>
        <v>3045600</v>
      </c>
      <c r="M23" s="968">
        <f t="shared" si="21"/>
        <v>761400</v>
      </c>
      <c r="N23" s="968"/>
      <c r="O23" s="969">
        <f t="shared" si="3"/>
        <v>5581800</v>
      </c>
      <c r="P23" s="970">
        <f t="shared" si="4"/>
        <v>2233650</v>
      </c>
      <c r="Q23" s="970">
        <f t="shared" si="16"/>
        <v>1206170</v>
      </c>
      <c r="R23" s="970">
        <f t="shared" si="5"/>
        <v>893910</v>
      </c>
      <c r="S23" s="970">
        <f t="shared" si="6"/>
        <v>91630</v>
      </c>
      <c r="T23" s="970">
        <f t="shared" si="11"/>
        <v>281440</v>
      </c>
      <c r="U23" s="970">
        <f t="shared" si="12"/>
        <v>214430</v>
      </c>
      <c r="V23" s="968">
        <f t="shared" si="1"/>
        <v>2687580</v>
      </c>
      <c r="W23" s="971">
        <f t="shared" si="2"/>
        <v>4921230</v>
      </c>
      <c r="X23" s="1451">
        <f t="shared" si="38"/>
        <v>31725030</v>
      </c>
      <c r="Y23" s="972">
        <f>250000*9</f>
        <v>2250000</v>
      </c>
      <c r="Z23" s="972">
        <f>50000*9</f>
        <v>450000</v>
      </c>
      <c r="AA23" s="973">
        <f t="shared" ref="AA23" si="51">Z23+Y23</f>
        <v>2700000</v>
      </c>
      <c r="AB23" s="1449" t="s">
        <v>264</v>
      </c>
    </row>
    <row r="24" spans="1:28" s="13" customFormat="1" ht="20.25" customHeight="1">
      <c r="A24" s="1450"/>
      <c r="B24" s="1450"/>
      <c r="C24" s="1450"/>
      <c r="D24" s="1448"/>
      <c r="E24" s="929"/>
      <c r="F24" s="930"/>
      <c r="G24" s="977"/>
      <c r="H24" s="964">
        <f t="shared" si="40"/>
        <v>0</v>
      </c>
      <c r="I24" s="965">
        <f t="shared" si="36"/>
        <v>0</v>
      </c>
      <c r="J24" s="966"/>
      <c r="K24" s="974">
        <f t="shared" si="37"/>
        <v>0</v>
      </c>
      <c r="L24" s="968">
        <f t="shared" si="41"/>
        <v>0</v>
      </c>
      <c r="M24" s="968">
        <f t="shared" si="21"/>
        <v>0</v>
      </c>
      <c r="N24" s="968"/>
      <c r="O24" s="969">
        <f t="shared" si="3"/>
        <v>0</v>
      </c>
      <c r="P24" s="970">
        <f t="shared" si="4"/>
        <v>0</v>
      </c>
      <c r="Q24" s="970">
        <f t="shared" si="16"/>
        <v>0</v>
      </c>
      <c r="R24" s="970">
        <f t="shared" si="5"/>
        <v>0</v>
      </c>
      <c r="S24" s="970">
        <f t="shared" si="6"/>
        <v>0</v>
      </c>
      <c r="T24" s="970">
        <f t="shared" si="11"/>
        <v>0</v>
      </c>
      <c r="U24" s="970">
        <f t="shared" si="12"/>
        <v>0</v>
      </c>
      <c r="V24" s="968">
        <f t="shared" si="1"/>
        <v>0</v>
      </c>
      <c r="W24" s="971">
        <f t="shared" si="2"/>
        <v>0</v>
      </c>
      <c r="X24" s="1452"/>
      <c r="Y24" s="975"/>
      <c r="Z24" s="975"/>
      <c r="AA24" s="976"/>
      <c r="AB24" s="1450"/>
    </row>
    <row r="25" spans="1:28" ht="20.25" customHeight="1">
      <c r="A25" s="1449">
        <v>11</v>
      </c>
      <c r="B25" s="1449" t="s">
        <v>204</v>
      </c>
      <c r="C25" s="1449" t="s">
        <v>205</v>
      </c>
      <c r="D25" s="1447">
        <v>8</v>
      </c>
      <c r="E25" s="927">
        <v>7</v>
      </c>
      <c r="F25" s="930" t="s">
        <v>197</v>
      </c>
      <c r="G25" s="977">
        <v>2962000</v>
      </c>
      <c r="H25" s="964">
        <f>G25*E25</f>
        <v>20734000</v>
      </c>
      <c r="I25" s="965">
        <f t="shared" si="8"/>
        <v>1777200</v>
      </c>
      <c r="J25" s="966">
        <f>60000*12</f>
        <v>720000</v>
      </c>
      <c r="K25" s="967">
        <f t="shared" si="9"/>
        <v>21260</v>
      </c>
      <c r="L25" s="968">
        <f t="shared" si="41"/>
        <v>2976400</v>
      </c>
      <c r="M25" s="968">
        <f t="shared" si="21"/>
        <v>744100</v>
      </c>
      <c r="N25" s="968"/>
      <c r="O25" s="969">
        <f t="shared" si="3"/>
        <v>6217700</v>
      </c>
      <c r="P25" s="970">
        <f t="shared" si="4"/>
        <v>2245980</v>
      </c>
      <c r="Q25" s="970">
        <f t="shared" si="16"/>
        <v>1212830</v>
      </c>
      <c r="R25" s="970">
        <f t="shared" si="5"/>
        <v>898840</v>
      </c>
      <c r="S25" s="970">
        <f t="shared" si="6"/>
        <v>92140</v>
      </c>
      <c r="T25" s="970">
        <f t="shared" si="11"/>
        <v>282990</v>
      </c>
      <c r="U25" s="970">
        <f t="shared" si="12"/>
        <v>215610</v>
      </c>
      <c r="V25" s="968">
        <f t="shared" si="1"/>
        <v>2702410</v>
      </c>
      <c r="W25" s="971">
        <f t="shared" si="2"/>
        <v>4948390</v>
      </c>
      <c r="X25" s="1451">
        <f t="shared" si="38"/>
        <v>55255170</v>
      </c>
      <c r="Y25" s="972">
        <f t="shared" ref="Y25" si="52">250000*12</f>
        <v>3000000</v>
      </c>
      <c r="Z25" s="972">
        <f t="shared" ref="Z25" si="53">50000*12</f>
        <v>600000</v>
      </c>
      <c r="AA25" s="973">
        <f t="shared" ref="AA25" si="54">Z25+Y25</f>
        <v>3600000</v>
      </c>
      <c r="AB25" s="1449"/>
    </row>
    <row r="26" spans="1:28" s="13" customFormat="1" ht="20.25" customHeight="1">
      <c r="A26" s="1450"/>
      <c r="B26" s="1450"/>
      <c r="C26" s="1450"/>
      <c r="D26" s="1448"/>
      <c r="E26" s="929">
        <v>5</v>
      </c>
      <c r="F26" s="930" t="s">
        <v>163</v>
      </c>
      <c r="G26" s="977">
        <v>3037000</v>
      </c>
      <c r="H26" s="964">
        <f t="shared" si="7"/>
        <v>15185000</v>
      </c>
      <c r="I26" s="965">
        <f t="shared" si="8"/>
        <v>1822200</v>
      </c>
      <c r="J26" s="966"/>
      <c r="K26" s="974">
        <f t="shared" si="9"/>
        <v>21800</v>
      </c>
      <c r="L26" s="968">
        <f t="shared" si="41"/>
        <v>2180000</v>
      </c>
      <c r="M26" s="968">
        <f t="shared" si="21"/>
        <v>545000</v>
      </c>
      <c r="N26" s="968"/>
      <c r="O26" s="969">
        <f t="shared" si="3"/>
        <v>4547200</v>
      </c>
      <c r="P26" s="970">
        <f t="shared" si="4"/>
        <v>1644350</v>
      </c>
      <c r="Q26" s="970">
        <f t="shared" si="16"/>
        <v>887950</v>
      </c>
      <c r="R26" s="970">
        <f t="shared" si="5"/>
        <v>658070</v>
      </c>
      <c r="S26" s="970">
        <f t="shared" si="6"/>
        <v>67460</v>
      </c>
      <c r="T26" s="970">
        <f t="shared" si="11"/>
        <v>207190</v>
      </c>
      <c r="U26" s="970">
        <f t="shared" si="12"/>
        <v>157860</v>
      </c>
      <c r="V26" s="968">
        <f t="shared" si="1"/>
        <v>1978530</v>
      </c>
      <c r="W26" s="971">
        <f t="shared" si="2"/>
        <v>3622880</v>
      </c>
      <c r="X26" s="1452"/>
      <c r="Y26" s="975"/>
      <c r="Z26" s="975"/>
      <c r="AA26" s="976"/>
      <c r="AB26" s="1450"/>
    </row>
    <row r="27" spans="1:28" ht="20.25" customHeight="1">
      <c r="A27" s="1449">
        <v>12</v>
      </c>
      <c r="B27" s="1453" t="s">
        <v>185</v>
      </c>
      <c r="C27" s="1449" t="s">
        <v>186</v>
      </c>
      <c r="D27" s="1447">
        <v>10</v>
      </c>
      <c r="E27" s="927">
        <v>9</v>
      </c>
      <c r="F27" s="930" t="s">
        <v>206</v>
      </c>
      <c r="G27" s="977">
        <v>3179000</v>
      </c>
      <c r="H27" s="964">
        <f t="shared" si="7"/>
        <v>28611000</v>
      </c>
      <c r="I27" s="965">
        <f t="shared" si="8"/>
        <v>1907400</v>
      </c>
      <c r="J27" s="966">
        <f>40000*12</f>
        <v>480000</v>
      </c>
      <c r="K27" s="967">
        <f t="shared" si="9"/>
        <v>22820</v>
      </c>
      <c r="L27" s="968">
        <f t="shared" si="41"/>
        <v>4107600</v>
      </c>
      <c r="M27" s="968">
        <f t="shared" si="21"/>
        <v>1026900</v>
      </c>
      <c r="N27" s="968"/>
      <c r="O27" s="969">
        <f t="shared" si="3"/>
        <v>7521900</v>
      </c>
      <c r="P27" s="970">
        <f t="shared" si="4"/>
        <v>3011080</v>
      </c>
      <c r="Q27" s="970">
        <f t="shared" si="16"/>
        <v>1625980</v>
      </c>
      <c r="R27" s="970">
        <f t="shared" si="5"/>
        <v>1205040</v>
      </c>
      <c r="S27" s="970">
        <f t="shared" si="6"/>
        <v>123520</v>
      </c>
      <c r="T27" s="970">
        <f t="shared" si="11"/>
        <v>379400</v>
      </c>
      <c r="U27" s="970">
        <f t="shared" si="12"/>
        <v>289060</v>
      </c>
      <c r="V27" s="968">
        <f t="shared" si="1"/>
        <v>3623000</v>
      </c>
      <c r="W27" s="971">
        <f t="shared" si="2"/>
        <v>6634080</v>
      </c>
      <c r="X27" s="1451">
        <f t="shared" si="38"/>
        <v>58656150</v>
      </c>
      <c r="Y27" s="972">
        <f t="shared" ref="Y27" si="55">250000*12</f>
        <v>3000000</v>
      </c>
      <c r="Z27" s="972">
        <f t="shared" ref="Z27" si="56">50000*12</f>
        <v>600000</v>
      </c>
      <c r="AA27" s="973">
        <f t="shared" ref="AA27" si="57">Z27+Y27</f>
        <v>3600000</v>
      </c>
      <c r="AB27" s="1449"/>
    </row>
    <row r="28" spans="1:28" s="13" customFormat="1" ht="20.25" customHeight="1">
      <c r="A28" s="1450"/>
      <c r="B28" s="1450"/>
      <c r="C28" s="1450"/>
      <c r="D28" s="1448"/>
      <c r="E28" s="929">
        <v>3</v>
      </c>
      <c r="F28" s="930" t="s">
        <v>183</v>
      </c>
      <c r="G28" s="977">
        <v>3244000</v>
      </c>
      <c r="H28" s="964">
        <f t="shared" si="7"/>
        <v>9732000</v>
      </c>
      <c r="I28" s="965">
        <f t="shared" si="8"/>
        <v>1946400</v>
      </c>
      <c r="J28" s="966"/>
      <c r="K28" s="974">
        <f t="shared" si="9"/>
        <v>23280</v>
      </c>
      <c r="L28" s="968">
        <f t="shared" si="41"/>
        <v>1396800</v>
      </c>
      <c r="M28" s="968">
        <f t="shared" si="21"/>
        <v>349200</v>
      </c>
      <c r="N28" s="968"/>
      <c r="O28" s="969">
        <f t="shared" si="3"/>
        <v>3692400</v>
      </c>
      <c r="P28" s="970">
        <f t="shared" si="4"/>
        <v>1118700</v>
      </c>
      <c r="Q28" s="970">
        <f t="shared" si="16"/>
        <v>604100</v>
      </c>
      <c r="R28" s="970">
        <f t="shared" si="5"/>
        <v>447710</v>
      </c>
      <c r="S28" s="970">
        <f t="shared" si="6"/>
        <v>45900</v>
      </c>
      <c r="T28" s="970">
        <f t="shared" si="11"/>
        <v>140960</v>
      </c>
      <c r="U28" s="970">
        <f t="shared" si="12"/>
        <v>107400</v>
      </c>
      <c r="V28" s="968">
        <f t="shared" si="1"/>
        <v>1346070</v>
      </c>
      <c r="W28" s="971">
        <f t="shared" si="2"/>
        <v>2464770</v>
      </c>
      <c r="X28" s="1452"/>
      <c r="Y28" s="975"/>
      <c r="Z28" s="975"/>
      <c r="AA28" s="976"/>
      <c r="AB28" s="1450"/>
    </row>
    <row r="29" spans="1:28" ht="20.25" customHeight="1">
      <c r="A29" s="1449">
        <v>13</v>
      </c>
      <c r="B29" s="1453" t="s">
        <v>202</v>
      </c>
      <c r="C29" s="1449" t="s">
        <v>207</v>
      </c>
      <c r="D29" s="1447">
        <v>8</v>
      </c>
      <c r="E29" s="927">
        <v>7</v>
      </c>
      <c r="F29" s="930" t="s">
        <v>196</v>
      </c>
      <c r="G29" s="977">
        <v>2660000</v>
      </c>
      <c r="H29" s="964">
        <f t="shared" si="7"/>
        <v>18620000</v>
      </c>
      <c r="I29" s="965">
        <f t="shared" si="8"/>
        <v>1596000</v>
      </c>
      <c r="J29" s="966">
        <f>60000*12</f>
        <v>720000</v>
      </c>
      <c r="K29" s="967">
        <f t="shared" si="9"/>
        <v>19090</v>
      </c>
      <c r="L29" s="968">
        <f t="shared" si="41"/>
        <v>2672600</v>
      </c>
      <c r="M29" s="968">
        <f t="shared" si="21"/>
        <v>668150</v>
      </c>
      <c r="N29" s="968"/>
      <c r="O29" s="969">
        <f t="shared" si="3"/>
        <v>5656750</v>
      </c>
      <c r="P29" s="970">
        <f t="shared" si="4"/>
        <v>2023070</v>
      </c>
      <c r="Q29" s="970">
        <f t="shared" si="16"/>
        <v>1092450</v>
      </c>
      <c r="R29" s="970">
        <f t="shared" si="5"/>
        <v>809630</v>
      </c>
      <c r="S29" s="970">
        <f t="shared" si="6"/>
        <v>82990</v>
      </c>
      <c r="T29" s="970">
        <f t="shared" si="11"/>
        <v>254910</v>
      </c>
      <c r="U29" s="970">
        <f t="shared" si="12"/>
        <v>194210</v>
      </c>
      <c r="V29" s="968">
        <f t="shared" si="1"/>
        <v>2434190</v>
      </c>
      <c r="W29" s="971">
        <f t="shared" si="2"/>
        <v>4457260</v>
      </c>
      <c r="X29" s="1451">
        <f t="shared" si="38"/>
        <v>49743480</v>
      </c>
      <c r="Y29" s="972">
        <f t="shared" ref="Y29" si="58">250000*12</f>
        <v>3000000</v>
      </c>
      <c r="Z29" s="972">
        <f t="shared" ref="Z29" si="59">50000*12</f>
        <v>600000</v>
      </c>
      <c r="AA29" s="973">
        <f t="shared" ref="AA29" si="60">Z29+Y29</f>
        <v>3600000</v>
      </c>
      <c r="AB29" s="1449"/>
    </row>
    <row r="30" spans="1:28" s="13" customFormat="1" ht="20.25" customHeight="1">
      <c r="A30" s="1450"/>
      <c r="B30" s="1450"/>
      <c r="C30" s="1450"/>
      <c r="D30" s="1448"/>
      <c r="E30" s="929">
        <v>5</v>
      </c>
      <c r="F30" s="930" t="s">
        <v>197</v>
      </c>
      <c r="G30" s="977">
        <v>2732000</v>
      </c>
      <c r="H30" s="964">
        <f t="shared" si="7"/>
        <v>13660000</v>
      </c>
      <c r="I30" s="965">
        <f t="shared" si="8"/>
        <v>1639200</v>
      </c>
      <c r="J30" s="966"/>
      <c r="K30" s="974">
        <f t="shared" si="9"/>
        <v>19610</v>
      </c>
      <c r="L30" s="968">
        <f t="shared" si="41"/>
        <v>1961000</v>
      </c>
      <c r="M30" s="968">
        <f t="shared" si="21"/>
        <v>490250</v>
      </c>
      <c r="N30" s="968"/>
      <c r="O30" s="969">
        <f t="shared" si="3"/>
        <v>4090450</v>
      </c>
      <c r="P30" s="970">
        <f t="shared" si="4"/>
        <v>1479210</v>
      </c>
      <c r="Q30" s="970">
        <f t="shared" si="16"/>
        <v>798770</v>
      </c>
      <c r="R30" s="970">
        <f t="shared" si="5"/>
        <v>591980</v>
      </c>
      <c r="S30" s="970">
        <f t="shared" si="6"/>
        <v>60680</v>
      </c>
      <c r="T30" s="970">
        <f t="shared" si="11"/>
        <v>186380</v>
      </c>
      <c r="U30" s="970">
        <f t="shared" si="12"/>
        <v>142000</v>
      </c>
      <c r="V30" s="968">
        <f t="shared" si="1"/>
        <v>1779810</v>
      </c>
      <c r="W30" s="971">
        <f t="shared" si="2"/>
        <v>3259020</v>
      </c>
      <c r="X30" s="1452"/>
      <c r="Y30" s="975"/>
      <c r="Z30" s="975"/>
      <c r="AA30" s="976"/>
      <c r="AB30" s="1450"/>
    </row>
    <row r="31" spans="1:28" ht="20.25" customHeight="1">
      <c r="A31" s="1449">
        <v>14</v>
      </c>
      <c r="B31" s="1449" t="s">
        <v>208</v>
      </c>
      <c r="C31" s="1449" t="s">
        <v>209</v>
      </c>
      <c r="D31" s="1447">
        <v>4</v>
      </c>
      <c r="E31" s="927">
        <v>3</v>
      </c>
      <c r="F31" s="930" t="s">
        <v>163</v>
      </c>
      <c r="G31" s="977">
        <v>2558000</v>
      </c>
      <c r="H31" s="964">
        <f t="shared" si="7"/>
        <v>7674000</v>
      </c>
      <c r="I31" s="965">
        <f t="shared" si="8"/>
        <v>1534800</v>
      </c>
      <c r="J31" s="966"/>
      <c r="K31" s="967">
        <f t="shared" si="9"/>
        <v>18360</v>
      </c>
      <c r="L31" s="968">
        <f t="shared" si="41"/>
        <v>1101600</v>
      </c>
      <c r="M31" s="968">
        <f t="shared" si="21"/>
        <v>275400</v>
      </c>
      <c r="N31" s="968"/>
      <c r="O31" s="969">
        <f t="shared" si="3"/>
        <v>2911800</v>
      </c>
      <c r="P31" s="970">
        <f t="shared" si="4"/>
        <v>882150</v>
      </c>
      <c r="Q31" s="970">
        <f t="shared" si="16"/>
        <v>476360</v>
      </c>
      <c r="R31" s="970">
        <f t="shared" si="5"/>
        <v>353040</v>
      </c>
      <c r="S31" s="970">
        <f t="shared" si="6"/>
        <v>36190</v>
      </c>
      <c r="T31" s="970">
        <f t="shared" si="11"/>
        <v>111150</v>
      </c>
      <c r="U31" s="970">
        <f t="shared" si="12"/>
        <v>84690</v>
      </c>
      <c r="V31" s="968">
        <f t="shared" si="1"/>
        <v>1061430</v>
      </c>
      <c r="W31" s="971">
        <f t="shared" si="2"/>
        <v>1943580</v>
      </c>
      <c r="X31" s="1451">
        <f t="shared" si="38"/>
        <v>47359430</v>
      </c>
      <c r="Y31" s="972">
        <f t="shared" ref="Y31" si="61">250000*12</f>
        <v>3000000</v>
      </c>
      <c r="Z31" s="972">
        <f t="shared" ref="Z31" si="62">50000*12</f>
        <v>600000</v>
      </c>
      <c r="AA31" s="973">
        <f t="shared" ref="AA31" si="63">Z31+Y31</f>
        <v>3600000</v>
      </c>
      <c r="AB31" s="1449"/>
    </row>
    <row r="32" spans="1:28" s="13" customFormat="1" ht="20.25" customHeight="1">
      <c r="A32" s="1450"/>
      <c r="B32" s="1450"/>
      <c r="C32" s="1450"/>
      <c r="D32" s="1448"/>
      <c r="E32" s="929">
        <v>9</v>
      </c>
      <c r="F32" s="930" t="s">
        <v>164</v>
      </c>
      <c r="G32" s="977">
        <v>2624000</v>
      </c>
      <c r="H32" s="964">
        <f t="shared" si="7"/>
        <v>23616000</v>
      </c>
      <c r="I32" s="965">
        <f t="shared" si="8"/>
        <v>1574400</v>
      </c>
      <c r="J32" s="966"/>
      <c r="K32" s="974">
        <f t="shared" si="9"/>
        <v>18830</v>
      </c>
      <c r="L32" s="968">
        <f t="shared" si="41"/>
        <v>3389400</v>
      </c>
      <c r="M32" s="968">
        <f t="shared" si="21"/>
        <v>847350</v>
      </c>
      <c r="N32" s="968"/>
      <c r="O32" s="969">
        <f t="shared" si="3"/>
        <v>5811150</v>
      </c>
      <c r="P32" s="970">
        <f t="shared" si="4"/>
        <v>2452270</v>
      </c>
      <c r="Q32" s="970">
        <f t="shared" si="16"/>
        <v>1324220</v>
      </c>
      <c r="R32" s="970">
        <f t="shared" si="5"/>
        <v>981400</v>
      </c>
      <c r="S32" s="970">
        <f t="shared" si="6"/>
        <v>100600</v>
      </c>
      <c r="T32" s="970">
        <f t="shared" si="11"/>
        <v>308990</v>
      </c>
      <c r="U32" s="970">
        <f t="shared" si="12"/>
        <v>235420</v>
      </c>
      <c r="V32" s="968">
        <f t="shared" si="1"/>
        <v>2950630</v>
      </c>
      <c r="W32" s="971">
        <f t="shared" si="2"/>
        <v>5402900</v>
      </c>
      <c r="X32" s="1452"/>
      <c r="Y32" s="975"/>
      <c r="Z32" s="975"/>
      <c r="AA32" s="976"/>
      <c r="AB32" s="1450"/>
    </row>
    <row r="33" spans="1:28" ht="20.25" customHeight="1">
      <c r="A33" s="1449">
        <v>15</v>
      </c>
      <c r="B33" s="1453" t="s">
        <v>285</v>
      </c>
      <c r="C33" s="1449" t="s">
        <v>211</v>
      </c>
      <c r="D33" s="1447">
        <v>2</v>
      </c>
      <c r="E33" s="927">
        <v>1</v>
      </c>
      <c r="F33" s="930" t="s">
        <v>197</v>
      </c>
      <c r="G33" s="977">
        <v>2493000</v>
      </c>
      <c r="H33" s="964">
        <f t="shared" si="7"/>
        <v>2493000</v>
      </c>
      <c r="I33" s="965">
        <f t="shared" si="8"/>
        <v>1495800</v>
      </c>
      <c r="J33" s="966">
        <f>40000*12</f>
        <v>480000</v>
      </c>
      <c r="K33" s="967">
        <f t="shared" si="9"/>
        <v>17890</v>
      </c>
      <c r="L33" s="968">
        <f t="shared" si="41"/>
        <v>357800</v>
      </c>
      <c r="M33" s="968">
        <f t="shared" si="21"/>
        <v>89450</v>
      </c>
      <c r="N33" s="968"/>
      <c r="O33" s="969">
        <f t="shared" si="3"/>
        <v>2423050</v>
      </c>
      <c r="P33" s="970">
        <f t="shared" si="4"/>
        <v>409680</v>
      </c>
      <c r="Q33" s="970">
        <f t="shared" si="16"/>
        <v>221220</v>
      </c>
      <c r="R33" s="970">
        <f t="shared" si="5"/>
        <v>163960</v>
      </c>
      <c r="S33" s="970">
        <f t="shared" si="6"/>
        <v>16810</v>
      </c>
      <c r="T33" s="970">
        <f t="shared" si="11"/>
        <v>51620</v>
      </c>
      <c r="U33" s="970">
        <f t="shared" si="12"/>
        <v>39330</v>
      </c>
      <c r="V33" s="968">
        <f t="shared" si="1"/>
        <v>492940</v>
      </c>
      <c r="W33" s="971">
        <f t="shared" si="2"/>
        <v>902620</v>
      </c>
      <c r="X33" s="1451">
        <f t="shared" si="38"/>
        <v>46915470</v>
      </c>
      <c r="Y33" s="972">
        <f t="shared" ref="Y33" si="64">250000*12</f>
        <v>3000000</v>
      </c>
      <c r="Z33" s="972">
        <f t="shared" ref="Z33" si="65">50000*12</f>
        <v>600000</v>
      </c>
      <c r="AA33" s="973">
        <f t="shared" ref="AA33" si="66">Z33+Y33</f>
        <v>3600000</v>
      </c>
      <c r="AB33" s="1449"/>
    </row>
    <row r="34" spans="1:28" s="13" customFormat="1" ht="20.25" customHeight="1">
      <c r="A34" s="1450"/>
      <c r="B34" s="1450"/>
      <c r="C34" s="1450"/>
      <c r="D34" s="1448"/>
      <c r="E34" s="929">
        <v>11</v>
      </c>
      <c r="F34" s="930" t="s">
        <v>163</v>
      </c>
      <c r="G34" s="977">
        <v>2558000</v>
      </c>
      <c r="H34" s="964">
        <f t="shared" si="7"/>
        <v>28138000</v>
      </c>
      <c r="I34" s="965">
        <f t="shared" si="8"/>
        <v>1534800</v>
      </c>
      <c r="J34" s="966"/>
      <c r="K34" s="974">
        <f t="shared" si="9"/>
        <v>18360</v>
      </c>
      <c r="L34" s="968">
        <f t="shared" si="41"/>
        <v>4039200</v>
      </c>
      <c r="M34" s="968">
        <f t="shared" si="21"/>
        <v>1009800</v>
      </c>
      <c r="N34" s="968"/>
      <c r="O34" s="969">
        <f t="shared" si="3"/>
        <v>6583800</v>
      </c>
      <c r="P34" s="970">
        <f t="shared" si="4"/>
        <v>2893490</v>
      </c>
      <c r="Q34" s="970">
        <f t="shared" si="16"/>
        <v>1562480</v>
      </c>
      <c r="R34" s="970">
        <f t="shared" si="5"/>
        <v>1157980</v>
      </c>
      <c r="S34" s="970">
        <f t="shared" si="6"/>
        <v>118700</v>
      </c>
      <c r="T34" s="970">
        <f t="shared" si="11"/>
        <v>364580</v>
      </c>
      <c r="U34" s="970">
        <f t="shared" si="12"/>
        <v>277770</v>
      </c>
      <c r="V34" s="968">
        <f t="shared" si="1"/>
        <v>3481510</v>
      </c>
      <c r="W34" s="971">
        <f t="shared" si="2"/>
        <v>6375000</v>
      </c>
      <c r="X34" s="1452"/>
      <c r="Y34" s="975"/>
      <c r="Z34" s="975"/>
      <c r="AA34" s="976"/>
      <c r="AB34" s="1450"/>
    </row>
    <row r="35" spans="1:28" ht="20.25" customHeight="1">
      <c r="A35" s="1449">
        <v>16</v>
      </c>
      <c r="B35" s="1449" t="s">
        <v>210</v>
      </c>
      <c r="C35" s="1449" t="s">
        <v>212</v>
      </c>
      <c r="D35" s="1447">
        <v>6</v>
      </c>
      <c r="E35" s="927">
        <v>5</v>
      </c>
      <c r="F35" s="930" t="s">
        <v>206</v>
      </c>
      <c r="G35" s="977">
        <v>2684000</v>
      </c>
      <c r="H35" s="964">
        <f t="shared" si="7"/>
        <v>13420000</v>
      </c>
      <c r="I35" s="965">
        <f t="shared" si="8"/>
        <v>1610400</v>
      </c>
      <c r="J35" s="966">
        <f>120000*12</f>
        <v>1440000</v>
      </c>
      <c r="K35" s="967">
        <f t="shared" si="9"/>
        <v>19260</v>
      </c>
      <c r="L35" s="968">
        <f>(K35*40)*E35</f>
        <v>3852000</v>
      </c>
      <c r="M35" s="968"/>
      <c r="N35" s="968"/>
      <c r="O35" s="969">
        <f t="shared" si="3"/>
        <v>6902400</v>
      </c>
      <c r="P35" s="970">
        <f t="shared" si="4"/>
        <v>1693540</v>
      </c>
      <c r="Q35" s="970">
        <f t="shared" si="16"/>
        <v>914510</v>
      </c>
      <c r="R35" s="970">
        <f t="shared" si="5"/>
        <v>677760</v>
      </c>
      <c r="S35" s="970">
        <f t="shared" si="6"/>
        <v>69480</v>
      </c>
      <c r="T35" s="970">
        <f t="shared" si="11"/>
        <v>213390</v>
      </c>
      <c r="U35" s="970">
        <f t="shared" si="12"/>
        <v>162580</v>
      </c>
      <c r="V35" s="968">
        <f t="shared" si="1"/>
        <v>2037720</v>
      </c>
      <c r="W35" s="971">
        <f t="shared" si="2"/>
        <v>3731260</v>
      </c>
      <c r="X35" s="1451">
        <f t="shared" si="38"/>
        <v>55241100</v>
      </c>
      <c r="Y35" s="972">
        <f t="shared" ref="Y35" si="67">250000*12</f>
        <v>3000000</v>
      </c>
      <c r="Z35" s="972">
        <f t="shared" ref="Z35" si="68">50000*12</f>
        <v>600000</v>
      </c>
      <c r="AA35" s="973">
        <f t="shared" ref="AA35" si="69">Z35+Y35</f>
        <v>3600000</v>
      </c>
      <c r="AB35" s="1449"/>
    </row>
    <row r="36" spans="1:28" s="13" customFormat="1" ht="20.25" customHeight="1">
      <c r="A36" s="1450"/>
      <c r="B36" s="1450"/>
      <c r="C36" s="1450"/>
      <c r="D36" s="1448"/>
      <c r="E36" s="929">
        <v>7</v>
      </c>
      <c r="F36" s="930" t="s">
        <v>183</v>
      </c>
      <c r="G36" s="977">
        <v>2742000</v>
      </c>
      <c r="H36" s="964">
        <f t="shared" si="7"/>
        <v>19194000</v>
      </c>
      <c r="I36" s="965">
        <f t="shared" si="8"/>
        <v>1645200</v>
      </c>
      <c r="J36" s="966"/>
      <c r="K36" s="974">
        <f t="shared" si="9"/>
        <v>19680</v>
      </c>
      <c r="L36" s="968">
        <f>(K36*40)*E36</f>
        <v>5510400</v>
      </c>
      <c r="M36" s="968"/>
      <c r="N36" s="968"/>
      <c r="O36" s="969">
        <f t="shared" si="3"/>
        <v>7155600</v>
      </c>
      <c r="P36" s="970">
        <f t="shared" si="4"/>
        <v>2195800</v>
      </c>
      <c r="Q36" s="970">
        <f t="shared" si="16"/>
        <v>1185730</v>
      </c>
      <c r="R36" s="970">
        <f t="shared" si="5"/>
        <v>878760</v>
      </c>
      <c r="S36" s="970">
        <f t="shared" si="6"/>
        <v>90080</v>
      </c>
      <c r="T36" s="970">
        <f t="shared" si="11"/>
        <v>276670</v>
      </c>
      <c r="U36" s="970">
        <f t="shared" si="12"/>
        <v>210800</v>
      </c>
      <c r="V36" s="968">
        <f t="shared" si="1"/>
        <v>2642040</v>
      </c>
      <c r="W36" s="971">
        <f t="shared" si="2"/>
        <v>4837840</v>
      </c>
      <c r="X36" s="1452"/>
      <c r="Y36" s="975"/>
      <c r="Z36" s="975"/>
      <c r="AA36" s="976"/>
      <c r="AB36" s="1450"/>
    </row>
    <row r="37" spans="1:28" ht="20.25" customHeight="1">
      <c r="A37" s="1449">
        <v>17</v>
      </c>
      <c r="B37" s="1449" t="s">
        <v>210</v>
      </c>
      <c r="C37" s="1449" t="s">
        <v>213</v>
      </c>
      <c r="D37" s="1447">
        <v>5</v>
      </c>
      <c r="E37" s="927">
        <v>4</v>
      </c>
      <c r="F37" s="930" t="s">
        <v>221</v>
      </c>
      <c r="G37" s="977">
        <v>2365000</v>
      </c>
      <c r="H37" s="964">
        <f t="shared" si="7"/>
        <v>9460000</v>
      </c>
      <c r="I37" s="965">
        <f t="shared" si="8"/>
        <v>1419000</v>
      </c>
      <c r="J37" s="966">
        <f>40000*12</f>
        <v>480000</v>
      </c>
      <c r="K37" s="967">
        <f t="shared" si="9"/>
        <v>16970</v>
      </c>
      <c r="L37" s="968">
        <f>(K37*20)*E37</f>
        <v>1357600</v>
      </c>
      <c r="M37" s="968">
        <f t="shared" ref="M37:M38" si="70">(K37*5)*E37</f>
        <v>339400</v>
      </c>
      <c r="N37" s="968"/>
      <c r="O37" s="969">
        <f t="shared" si="3"/>
        <v>3596000</v>
      </c>
      <c r="P37" s="970">
        <f t="shared" si="4"/>
        <v>1088000</v>
      </c>
      <c r="Q37" s="970">
        <f t="shared" si="16"/>
        <v>587520</v>
      </c>
      <c r="R37" s="970">
        <f t="shared" si="5"/>
        <v>435420</v>
      </c>
      <c r="S37" s="970">
        <f t="shared" ref="S37:S68" si="71">ROUNDUP(R37*10.25%,-1)</f>
        <v>44640</v>
      </c>
      <c r="T37" s="970">
        <f t="shared" si="11"/>
        <v>137090</v>
      </c>
      <c r="U37" s="970">
        <f t="shared" si="12"/>
        <v>104450</v>
      </c>
      <c r="V37" s="968">
        <f t="shared" ref="V37:V68" si="72">SUM(Q37:U37)</f>
        <v>1309120</v>
      </c>
      <c r="W37" s="971">
        <f t="shared" ref="W37:W68" si="73">SUM(P37,V37)</f>
        <v>2397120</v>
      </c>
      <c r="X37" s="1451">
        <f t="shared" si="38"/>
        <v>44293720</v>
      </c>
      <c r="Y37" s="972">
        <f t="shared" ref="Y37" si="74">250000*12</f>
        <v>3000000</v>
      </c>
      <c r="Z37" s="972">
        <f t="shared" ref="Z37" si="75">50000*12</f>
        <v>600000</v>
      </c>
      <c r="AA37" s="973">
        <f t="shared" ref="AA37" si="76">Z37+Y37</f>
        <v>3600000</v>
      </c>
      <c r="AB37" s="1449"/>
    </row>
    <row r="38" spans="1:28" s="13" customFormat="1" ht="20.25" customHeight="1">
      <c r="A38" s="1450"/>
      <c r="B38" s="1450"/>
      <c r="C38" s="1450"/>
      <c r="D38" s="1448"/>
      <c r="E38" s="929">
        <v>8</v>
      </c>
      <c r="F38" s="930" t="s">
        <v>196</v>
      </c>
      <c r="G38" s="977">
        <v>2428000</v>
      </c>
      <c r="H38" s="964">
        <f t="shared" si="7"/>
        <v>19424000</v>
      </c>
      <c r="I38" s="965">
        <f t="shared" si="8"/>
        <v>1456800</v>
      </c>
      <c r="J38" s="966"/>
      <c r="K38" s="974">
        <f t="shared" si="9"/>
        <v>17430</v>
      </c>
      <c r="L38" s="968">
        <f>(K38*20)*E38</f>
        <v>2788800</v>
      </c>
      <c r="M38" s="968">
        <f t="shared" si="70"/>
        <v>697200</v>
      </c>
      <c r="N38" s="968"/>
      <c r="O38" s="969">
        <f t="shared" si="3"/>
        <v>4942800</v>
      </c>
      <c r="P38" s="970">
        <f t="shared" si="4"/>
        <v>2030570</v>
      </c>
      <c r="Q38" s="970">
        <f t="shared" si="16"/>
        <v>1096510</v>
      </c>
      <c r="R38" s="970">
        <f t="shared" si="5"/>
        <v>812640</v>
      </c>
      <c r="S38" s="970">
        <f t="shared" si="71"/>
        <v>83300</v>
      </c>
      <c r="T38" s="970">
        <f t="shared" si="11"/>
        <v>255850</v>
      </c>
      <c r="U38" s="970">
        <f t="shared" si="12"/>
        <v>194930</v>
      </c>
      <c r="V38" s="968">
        <f t="shared" si="72"/>
        <v>2443230</v>
      </c>
      <c r="W38" s="971">
        <f t="shared" si="73"/>
        <v>4473800</v>
      </c>
      <c r="X38" s="1452"/>
      <c r="Y38" s="975"/>
      <c r="Z38" s="975"/>
      <c r="AA38" s="976"/>
      <c r="AB38" s="1450"/>
    </row>
    <row r="39" spans="1:28" ht="20.25" customHeight="1">
      <c r="A39" s="1449">
        <v>18</v>
      </c>
      <c r="B39" s="1449" t="s">
        <v>210</v>
      </c>
      <c r="C39" s="1449" t="s">
        <v>216</v>
      </c>
      <c r="D39" s="1447">
        <v>12</v>
      </c>
      <c r="E39" s="927">
        <v>11</v>
      </c>
      <c r="F39" s="930" t="s">
        <v>163</v>
      </c>
      <c r="G39" s="977">
        <v>2558000</v>
      </c>
      <c r="H39" s="964">
        <f t="shared" si="7"/>
        <v>28138000</v>
      </c>
      <c r="I39" s="965">
        <f t="shared" si="8"/>
        <v>1534800</v>
      </c>
      <c r="J39" s="966"/>
      <c r="K39" s="967">
        <f t="shared" si="9"/>
        <v>18360</v>
      </c>
      <c r="L39" s="968">
        <f>(K39*40)*E39</f>
        <v>8078400</v>
      </c>
      <c r="M39" s="968"/>
      <c r="N39" s="968"/>
      <c r="O39" s="969">
        <f t="shared" si="3"/>
        <v>9613200</v>
      </c>
      <c r="P39" s="970">
        <f t="shared" si="4"/>
        <v>3145940</v>
      </c>
      <c r="Q39" s="970">
        <f t="shared" si="16"/>
        <v>1698800</v>
      </c>
      <c r="R39" s="970">
        <f t="shared" si="5"/>
        <v>1259010</v>
      </c>
      <c r="S39" s="970">
        <f t="shared" si="71"/>
        <v>129050</v>
      </c>
      <c r="T39" s="970">
        <f t="shared" ref="T39:T70" si="77">ROUND((H39+I39+J39+L39+M39)*1.05%,-1)</f>
        <v>396390</v>
      </c>
      <c r="U39" s="970">
        <f t="shared" ref="U39:U70" si="78">ROUND((H39+I39+J39+L39+M39)*0.8%,-1)</f>
        <v>302010</v>
      </c>
      <c r="V39" s="968">
        <f t="shared" si="72"/>
        <v>3785260</v>
      </c>
      <c r="W39" s="971">
        <f t="shared" si="73"/>
        <v>6931200</v>
      </c>
      <c r="X39" s="1451">
        <f t="shared" si="38"/>
        <v>50543130</v>
      </c>
      <c r="Y39" s="972">
        <f t="shared" ref="Y39" si="79">250000*12</f>
        <v>3000000</v>
      </c>
      <c r="Z39" s="972">
        <f t="shared" ref="Z39" si="80">50000*12</f>
        <v>600000</v>
      </c>
      <c r="AA39" s="973">
        <f t="shared" ref="AA39" si="81">Z39+Y39</f>
        <v>3600000</v>
      </c>
      <c r="AB39" s="1449"/>
    </row>
    <row r="40" spans="1:28" s="13" customFormat="1" ht="20.25" customHeight="1">
      <c r="A40" s="1450"/>
      <c r="B40" s="1450"/>
      <c r="C40" s="1450"/>
      <c r="D40" s="1448"/>
      <c r="E40" s="929">
        <v>1</v>
      </c>
      <c r="F40" s="930" t="s">
        <v>164</v>
      </c>
      <c r="G40" s="977">
        <v>2624000</v>
      </c>
      <c r="H40" s="964">
        <f t="shared" si="7"/>
        <v>2624000</v>
      </c>
      <c r="I40" s="965">
        <f t="shared" si="8"/>
        <v>1574400</v>
      </c>
      <c r="J40" s="966"/>
      <c r="K40" s="974">
        <f t="shared" si="9"/>
        <v>18830</v>
      </c>
      <c r="L40" s="968">
        <f>(K40*40)*E40</f>
        <v>753200</v>
      </c>
      <c r="M40" s="968"/>
      <c r="N40" s="968"/>
      <c r="O40" s="969">
        <f t="shared" si="3"/>
        <v>2327600</v>
      </c>
      <c r="P40" s="970">
        <f t="shared" si="4"/>
        <v>412640</v>
      </c>
      <c r="Q40" s="970">
        <f t="shared" si="16"/>
        <v>222820</v>
      </c>
      <c r="R40" s="970">
        <f t="shared" si="5"/>
        <v>165140</v>
      </c>
      <c r="S40" s="970">
        <f t="shared" si="71"/>
        <v>16930</v>
      </c>
      <c r="T40" s="970">
        <f t="shared" si="77"/>
        <v>51990</v>
      </c>
      <c r="U40" s="970">
        <f t="shared" si="78"/>
        <v>39610</v>
      </c>
      <c r="V40" s="968">
        <f t="shared" si="72"/>
        <v>496490</v>
      </c>
      <c r="W40" s="971">
        <f t="shared" si="73"/>
        <v>909130</v>
      </c>
      <c r="X40" s="1452"/>
      <c r="Y40" s="975"/>
      <c r="Z40" s="975"/>
      <c r="AA40" s="976"/>
      <c r="AB40" s="1450"/>
    </row>
    <row r="41" spans="1:28" ht="20.25" customHeight="1">
      <c r="A41" s="1449">
        <v>19</v>
      </c>
      <c r="B41" s="1453" t="s">
        <v>285</v>
      </c>
      <c r="C41" s="1449" t="s">
        <v>217</v>
      </c>
      <c r="D41" s="1447">
        <v>11</v>
      </c>
      <c r="E41" s="927">
        <v>10</v>
      </c>
      <c r="F41" s="930" t="s">
        <v>164</v>
      </c>
      <c r="G41" s="977">
        <v>2624000</v>
      </c>
      <c r="H41" s="964">
        <f t="shared" si="7"/>
        <v>26240000</v>
      </c>
      <c r="I41" s="965">
        <f t="shared" si="8"/>
        <v>1574400</v>
      </c>
      <c r="J41" s="966"/>
      <c r="K41" s="967">
        <f t="shared" si="9"/>
        <v>18830</v>
      </c>
      <c r="L41" s="968">
        <f>(K41*20)*E41</f>
        <v>3766000</v>
      </c>
      <c r="M41" s="968">
        <f t="shared" ref="M41:M48" si="82">(K41*5)*E41</f>
        <v>941500</v>
      </c>
      <c r="N41" s="968"/>
      <c r="O41" s="969">
        <f t="shared" si="3"/>
        <v>6281900</v>
      </c>
      <c r="P41" s="970">
        <f t="shared" si="4"/>
        <v>2710160</v>
      </c>
      <c r="Q41" s="970">
        <f t="shared" si="16"/>
        <v>1463490</v>
      </c>
      <c r="R41" s="970">
        <f t="shared" si="5"/>
        <v>1084610</v>
      </c>
      <c r="S41" s="970">
        <f t="shared" si="71"/>
        <v>111180</v>
      </c>
      <c r="T41" s="970">
        <f t="shared" si="77"/>
        <v>341480</v>
      </c>
      <c r="U41" s="970">
        <f t="shared" si="78"/>
        <v>260180</v>
      </c>
      <c r="V41" s="968">
        <f t="shared" si="72"/>
        <v>3260940</v>
      </c>
      <c r="W41" s="971">
        <f t="shared" si="73"/>
        <v>5971100</v>
      </c>
      <c r="X41" s="1451">
        <f t="shared" si="38"/>
        <v>47892460</v>
      </c>
      <c r="Y41" s="972">
        <f t="shared" ref="Y41" si="83">250000*12</f>
        <v>3000000</v>
      </c>
      <c r="Z41" s="972">
        <f t="shared" ref="Z41" si="84">50000*12</f>
        <v>600000</v>
      </c>
      <c r="AA41" s="973">
        <f t="shared" ref="AA41" si="85">Z41+Y41</f>
        <v>3600000</v>
      </c>
      <c r="AB41" s="1449"/>
    </row>
    <row r="42" spans="1:28" s="13" customFormat="1" ht="20.25" customHeight="1">
      <c r="A42" s="1450"/>
      <c r="B42" s="1450"/>
      <c r="C42" s="1450"/>
      <c r="D42" s="1448"/>
      <c r="E42" s="929">
        <v>2</v>
      </c>
      <c r="F42" s="930" t="s">
        <v>206</v>
      </c>
      <c r="G42" s="977">
        <v>2684000</v>
      </c>
      <c r="H42" s="964">
        <f t="shared" si="7"/>
        <v>5368000</v>
      </c>
      <c r="I42" s="965">
        <f t="shared" si="8"/>
        <v>1610400</v>
      </c>
      <c r="J42" s="966"/>
      <c r="K42" s="974">
        <f t="shared" si="9"/>
        <v>19260</v>
      </c>
      <c r="L42" s="968">
        <f>(K42*20)*E42</f>
        <v>770400</v>
      </c>
      <c r="M42" s="968">
        <f t="shared" si="82"/>
        <v>192600</v>
      </c>
      <c r="N42" s="968"/>
      <c r="O42" s="969">
        <f t="shared" si="3"/>
        <v>2573400</v>
      </c>
      <c r="P42" s="970">
        <f t="shared" si="4"/>
        <v>661790</v>
      </c>
      <c r="Q42" s="970">
        <f t="shared" si="16"/>
        <v>357360</v>
      </c>
      <c r="R42" s="970">
        <f t="shared" si="5"/>
        <v>264850</v>
      </c>
      <c r="S42" s="970">
        <f t="shared" si="71"/>
        <v>27150</v>
      </c>
      <c r="T42" s="970">
        <f t="shared" si="77"/>
        <v>83380</v>
      </c>
      <c r="U42" s="970">
        <f t="shared" si="78"/>
        <v>63530</v>
      </c>
      <c r="V42" s="968">
        <f t="shared" si="72"/>
        <v>796270</v>
      </c>
      <c r="W42" s="971">
        <f t="shared" si="73"/>
        <v>1458060</v>
      </c>
      <c r="X42" s="1452"/>
      <c r="Y42" s="975"/>
      <c r="Z42" s="975"/>
      <c r="AA42" s="976"/>
      <c r="AB42" s="1450"/>
    </row>
    <row r="43" spans="1:28" s="13" customFormat="1" ht="20.25" customHeight="1">
      <c r="A43" s="1449">
        <v>20</v>
      </c>
      <c r="B43" s="1453" t="s">
        <v>285</v>
      </c>
      <c r="C43" s="1449" t="s">
        <v>218</v>
      </c>
      <c r="D43" s="1447">
        <v>5</v>
      </c>
      <c r="E43" s="927">
        <v>4</v>
      </c>
      <c r="F43" s="930" t="s">
        <v>196</v>
      </c>
      <c r="G43" s="977">
        <v>2428000</v>
      </c>
      <c r="H43" s="964">
        <f t="shared" si="7"/>
        <v>9712000</v>
      </c>
      <c r="I43" s="965">
        <f t="shared" si="8"/>
        <v>1456800</v>
      </c>
      <c r="J43" s="966">
        <f>120000*12</f>
        <v>1440000</v>
      </c>
      <c r="K43" s="967">
        <f t="shared" si="9"/>
        <v>17430</v>
      </c>
      <c r="L43" s="968">
        <f t="shared" ref="L43:L47" si="86">(K43*20)*E43</f>
        <v>1394400</v>
      </c>
      <c r="M43" s="968">
        <f t="shared" si="82"/>
        <v>348600</v>
      </c>
      <c r="N43" s="968"/>
      <c r="O43" s="969">
        <f t="shared" si="3"/>
        <v>4639800</v>
      </c>
      <c r="P43" s="970">
        <f t="shared" si="4"/>
        <v>1195990</v>
      </c>
      <c r="Q43" s="970">
        <f t="shared" si="16"/>
        <v>645830</v>
      </c>
      <c r="R43" s="970">
        <f t="shared" si="5"/>
        <v>478640</v>
      </c>
      <c r="S43" s="970">
        <f t="shared" si="71"/>
        <v>49070</v>
      </c>
      <c r="T43" s="970">
        <f t="shared" si="77"/>
        <v>150690</v>
      </c>
      <c r="U43" s="970">
        <f t="shared" si="78"/>
        <v>114810</v>
      </c>
      <c r="V43" s="968">
        <f t="shared" si="72"/>
        <v>1439040</v>
      </c>
      <c r="W43" s="971">
        <f t="shared" si="73"/>
        <v>2635030</v>
      </c>
      <c r="X43" s="1451">
        <f t="shared" si="38"/>
        <v>48974630</v>
      </c>
      <c r="Y43" s="972">
        <f t="shared" ref="Y43" si="87">250000*12</f>
        <v>3000000</v>
      </c>
      <c r="Z43" s="972">
        <f t="shared" ref="Z43" si="88">50000*12</f>
        <v>600000</v>
      </c>
      <c r="AA43" s="973">
        <f t="shared" ref="AA43" si="89">Z43+Y43</f>
        <v>3600000</v>
      </c>
      <c r="AB43" s="1449"/>
    </row>
    <row r="44" spans="1:28" s="13" customFormat="1" ht="20.25" customHeight="1">
      <c r="A44" s="1450"/>
      <c r="B44" s="1450"/>
      <c r="C44" s="1450"/>
      <c r="D44" s="1448"/>
      <c r="E44" s="929">
        <v>8</v>
      </c>
      <c r="F44" s="930" t="s">
        <v>197</v>
      </c>
      <c r="G44" s="977">
        <v>2693000</v>
      </c>
      <c r="H44" s="964">
        <f t="shared" si="7"/>
        <v>21544000</v>
      </c>
      <c r="I44" s="965">
        <f t="shared" si="8"/>
        <v>1615800</v>
      </c>
      <c r="J44" s="966"/>
      <c r="K44" s="974">
        <f t="shared" si="9"/>
        <v>19330</v>
      </c>
      <c r="L44" s="968">
        <f t="shared" si="86"/>
        <v>3092800</v>
      </c>
      <c r="M44" s="968">
        <f t="shared" si="82"/>
        <v>773200</v>
      </c>
      <c r="N44" s="968"/>
      <c r="O44" s="969">
        <f t="shared" si="3"/>
        <v>5481800</v>
      </c>
      <c r="P44" s="970">
        <f t="shared" si="4"/>
        <v>2252150</v>
      </c>
      <c r="Q44" s="970">
        <f t="shared" si="16"/>
        <v>1216160</v>
      </c>
      <c r="R44" s="970">
        <f t="shared" si="5"/>
        <v>901320</v>
      </c>
      <c r="S44" s="970">
        <f t="shared" si="71"/>
        <v>92390</v>
      </c>
      <c r="T44" s="970">
        <f t="shared" si="77"/>
        <v>283770</v>
      </c>
      <c r="U44" s="970">
        <f t="shared" si="78"/>
        <v>216210</v>
      </c>
      <c r="V44" s="968">
        <f t="shared" si="72"/>
        <v>2709850</v>
      </c>
      <c r="W44" s="971">
        <f t="shared" si="73"/>
        <v>4962000</v>
      </c>
      <c r="X44" s="1452"/>
      <c r="Y44" s="975"/>
      <c r="Z44" s="975"/>
      <c r="AA44" s="976"/>
      <c r="AB44" s="1450"/>
    </row>
    <row r="45" spans="1:28" s="13" customFormat="1" ht="20.25" customHeight="1">
      <c r="A45" s="1449">
        <v>21</v>
      </c>
      <c r="B45" s="1453" t="s">
        <v>285</v>
      </c>
      <c r="C45" s="1449" t="s">
        <v>219</v>
      </c>
      <c r="D45" s="1447">
        <v>4</v>
      </c>
      <c r="E45" s="927">
        <v>3</v>
      </c>
      <c r="F45" s="930" t="s">
        <v>220</v>
      </c>
      <c r="G45" s="977">
        <v>2304000</v>
      </c>
      <c r="H45" s="964">
        <f t="shared" si="7"/>
        <v>6912000</v>
      </c>
      <c r="I45" s="965">
        <f t="shared" si="8"/>
        <v>1382400</v>
      </c>
      <c r="J45" s="966">
        <f>40000*12</f>
        <v>480000</v>
      </c>
      <c r="K45" s="967">
        <f t="shared" si="9"/>
        <v>16540</v>
      </c>
      <c r="L45" s="968">
        <f t="shared" si="86"/>
        <v>992400</v>
      </c>
      <c r="M45" s="968">
        <f t="shared" si="82"/>
        <v>248100</v>
      </c>
      <c r="N45" s="968"/>
      <c r="O45" s="969">
        <f t="shared" si="3"/>
        <v>3102900</v>
      </c>
      <c r="P45" s="970">
        <f t="shared" si="4"/>
        <v>834580</v>
      </c>
      <c r="Q45" s="970">
        <f t="shared" si="16"/>
        <v>450670</v>
      </c>
      <c r="R45" s="970">
        <f t="shared" si="5"/>
        <v>334000</v>
      </c>
      <c r="S45" s="970">
        <f t="shared" si="71"/>
        <v>34240</v>
      </c>
      <c r="T45" s="970">
        <f t="shared" si="77"/>
        <v>105160</v>
      </c>
      <c r="U45" s="970">
        <f t="shared" si="78"/>
        <v>80120</v>
      </c>
      <c r="V45" s="968">
        <f t="shared" si="72"/>
        <v>1004190</v>
      </c>
      <c r="W45" s="971">
        <f t="shared" si="73"/>
        <v>1838770</v>
      </c>
      <c r="X45" s="1451">
        <f t="shared" si="38"/>
        <v>43245460</v>
      </c>
      <c r="Y45" s="972">
        <f t="shared" ref="Y45" si="90">250000*12</f>
        <v>3000000</v>
      </c>
      <c r="Z45" s="972">
        <f t="shared" ref="Z45" si="91">50000*12</f>
        <v>600000</v>
      </c>
      <c r="AA45" s="973">
        <f t="shared" ref="AA45" si="92">Z45+Y45</f>
        <v>3600000</v>
      </c>
      <c r="AB45" s="1449"/>
    </row>
    <row r="46" spans="1:28" s="13" customFormat="1" ht="20.25" customHeight="1">
      <c r="A46" s="1450"/>
      <c r="B46" s="1450"/>
      <c r="C46" s="1450"/>
      <c r="D46" s="1448"/>
      <c r="E46" s="929">
        <v>9</v>
      </c>
      <c r="F46" s="930" t="s">
        <v>221</v>
      </c>
      <c r="G46" s="977">
        <v>2365000</v>
      </c>
      <c r="H46" s="964">
        <f t="shared" si="7"/>
        <v>21285000</v>
      </c>
      <c r="I46" s="965">
        <f t="shared" si="8"/>
        <v>1419000</v>
      </c>
      <c r="J46" s="966"/>
      <c r="K46" s="974">
        <f t="shared" si="9"/>
        <v>16970</v>
      </c>
      <c r="L46" s="968">
        <f t="shared" si="86"/>
        <v>3054600</v>
      </c>
      <c r="M46" s="968">
        <f t="shared" si="82"/>
        <v>763650</v>
      </c>
      <c r="N46" s="968"/>
      <c r="O46" s="969">
        <f t="shared" si="3"/>
        <v>5237250</v>
      </c>
      <c r="P46" s="970">
        <f t="shared" si="4"/>
        <v>2210190</v>
      </c>
      <c r="Q46" s="970">
        <f t="shared" si="16"/>
        <v>1193500</v>
      </c>
      <c r="R46" s="970">
        <f t="shared" si="5"/>
        <v>884520</v>
      </c>
      <c r="S46" s="970">
        <f t="shared" si="71"/>
        <v>90670</v>
      </c>
      <c r="T46" s="970">
        <f t="shared" si="77"/>
        <v>278480</v>
      </c>
      <c r="U46" s="970">
        <f t="shared" si="78"/>
        <v>212180</v>
      </c>
      <c r="V46" s="968">
        <f t="shared" si="72"/>
        <v>2659350</v>
      </c>
      <c r="W46" s="971">
        <f t="shared" si="73"/>
        <v>4869540</v>
      </c>
      <c r="X46" s="1452"/>
      <c r="Y46" s="975"/>
      <c r="Z46" s="975"/>
      <c r="AA46" s="976"/>
      <c r="AB46" s="1450"/>
    </row>
    <row r="47" spans="1:28" s="13" customFormat="1" ht="20.25" customHeight="1">
      <c r="A47" s="1449">
        <v>22</v>
      </c>
      <c r="B47" s="1449" t="s">
        <v>210</v>
      </c>
      <c r="C47" s="1449" t="s">
        <v>222</v>
      </c>
      <c r="D47" s="1447">
        <v>4</v>
      </c>
      <c r="E47" s="927">
        <v>3</v>
      </c>
      <c r="F47" s="930" t="s">
        <v>220</v>
      </c>
      <c r="G47" s="977">
        <v>2304000</v>
      </c>
      <c r="H47" s="964">
        <f t="shared" si="7"/>
        <v>6912000</v>
      </c>
      <c r="I47" s="965">
        <f t="shared" si="8"/>
        <v>1382400</v>
      </c>
      <c r="J47" s="966">
        <f>40000*12</f>
        <v>480000</v>
      </c>
      <c r="K47" s="967">
        <f t="shared" si="9"/>
        <v>16540</v>
      </c>
      <c r="L47" s="968">
        <f t="shared" si="86"/>
        <v>992400</v>
      </c>
      <c r="M47" s="968">
        <f t="shared" si="82"/>
        <v>248100</v>
      </c>
      <c r="N47" s="968"/>
      <c r="O47" s="969">
        <f t="shared" si="3"/>
        <v>3102900</v>
      </c>
      <c r="P47" s="970">
        <f t="shared" si="4"/>
        <v>834580</v>
      </c>
      <c r="Q47" s="970">
        <f t="shared" si="16"/>
        <v>450670</v>
      </c>
      <c r="R47" s="970">
        <f t="shared" si="5"/>
        <v>334000</v>
      </c>
      <c r="S47" s="970">
        <f t="shared" si="71"/>
        <v>34240</v>
      </c>
      <c r="T47" s="970">
        <f t="shared" si="77"/>
        <v>105160</v>
      </c>
      <c r="U47" s="970">
        <f t="shared" si="78"/>
        <v>80120</v>
      </c>
      <c r="V47" s="968">
        <f t="shared" si="72"/>
        <v>1004190</v>
      </c>
      <c r="W47" s="971">
        <f t="shared" si="73"/>
        <v>1838770</v>
      </c>
      <c r="X47" s="1451">
        <f t="shared" si="38"/>
        <v>43245460</v>
      </c>
      <c r="Y47" s="972">
        <f t="shared" ref="Y47" si="93">250000*12</f>
        <v>3000000</v>
      </c>
      <c r="Z47" s="972">
        <f t="shared" ref="Z47" si="94">50000*12</f>
        <v>600000</v>
      </c>
      <c r="AA47" s="973">
        <f t="shared" ref="AA47" si="95">Z47+Y47</f>
        <v>3600000</v>
      </c>
      <c r="AB47" s="1449"/>
    </row>
    <row r="48" spans="1:28" s="13" customFormat="1" ht="20.25" customHeight="1">
      <c r="A48" s="1450"/>
      <c r="B48" s="1450"/>
      <c r="C48" s="1450"/>
      <c r="D48" s="1448"/>
      <c r="E48" s="929">
        <v>9</v>
      </c>
      <c r="F48" s="930" t="s">
        <v>221</v>
      </c>
      <c r="G48" s="977">
        <v>2365000</v>
      </c>
      <c r="H48" s="964">
        <f t="shared" si="7"/>
        <v>21285000</v>
      </c>
      <c r="I48" s="965">
        <f t="shared" si="8"/>
        <v>1419000</v>
      </c>
      <c r="J48" s="966"/>
      <c r="K48" s="974">
        <f t="shared" si="9"/>
        <v>16970</v>
      </c>
      <c r="L48" s="968">
        <f>(K48*20)*E48</f>
        <v>3054600</v>
      </c>
      <c r="M48" s="968">
        <f t="shared" si="82"/>
        <v>763650</v>
      </c>
      <c r="N48" s="968"/>
      <c r="O48" s="969">
        <f t="shared" si="3"/>
        <v>5237250</v>
      </c>
      <c r="P48" s="970">
        <f t="shared" si="4"/>
        <v>2210190</v>
      </c>
      <c r="Q48" s="970">
        <f t="shared" si="16"/>
        <v>1193500</v>
      </c>
      <c r="R48" s="970">
        <f t="shared" si="5"/>
        <v>884520</v>
      </c>
      <c r="S48" s="970">
        <f t="shared" si="71"/>
        <v>90670</v>
      </c>
      <c r="T48" s="970">
        <f t="shared" si="77"/>
        <v>278480</v>
      </c>
      <c r="U48" s="970">
        <f t="shared" si="78"/>
        <v>212180</v>
      </c>
      <c r="V48" s="968">
        <f t="shared" si="72"/>
        <v>2659350</v>
      </c>
      <c r="W48" s="971">
        <f t="shared" si="73"/>
        <v>4869540</v>
      </c>
      <c r="X48" s="1452"/>
      <c r="Y48" s="975"/>
      <c r="Z48" s="975"/>
      <c r="AA48" s="976"/>
      <c r="AB48" s="1450"/>
    </row>
    <row r="49" spans="1:28" s="13" customFormat="1" ht="20.25" customHeight="1">
      <c r="A49" s="1449">
        <v>23</v>
      </c>
      <c r="B49" s="1449" t="s">
        <v>210</v>
      </c>
      <c r="C49" s="1449" t="s">
        <v>223</v>
      </c>
      <c r="D49" s="1447">
        <v>7</v>
      </c>
      <c r="E49" s="927">
        <v>5</v>
      </c>
      <c r="F49" s="930" t="s">
        <v>197</v>
      </c>
      <c r="G49" s="977">
        <v>2493000</v>
      </c>
      <c r="H49" s="964">
        <f t="shared" si="7"/>
        <v>12465000</v>
      </c>
      <c r="I49" s="965">
        <f t="shared" si="8"/>
        <v>1495800</v>
      </c>
      <c r="J49" s="966">
        <f>20000*5</f>
        <v>100000</v>
      </c>
      <c r="K49" s="967">
        <f t="shared" si="9"/>
        <v>17890</v>
      </c>
      <c r="L49" s="968">
        <f>(K49*40)*E49</f>
        <v>3578000</v>
      </c>
      <c r="M49" s="968"/>
      <c r="N49" s="968"/>
      <c r="O49" s="969">
        <f t="shared" si="3"/>
        <v>5173800</v>
      </c>
      <c r="P49" s="970">
        <f t="shared" si="4"/>
        <v>1469900</v>
      </c>
      <c r="Q49" s="970">
        <f t="shared" si="16"/>
        <v>793750</v>
      </c>
      <c r="R49" s="970">
        <f t="shared" si="5"/>
        <v>588260</v>
      </c>
      <c r="S49" s="970">
        <f t="shared" si="71"/>
        <v>60300</v>
      </c>
      <c r="T49" s="970">
        <f t="shared" si="77"/>
        <v>185210</v>
      </c>
      <c r="U49" s="970">
        <f t="shared" si="78"/>
        <v>141110</v>
      </c>
      <c r="V49" s="968">
        <f t="shared" si="72"/>
        <v>1768630</v>
      </c>
      <c r="W49" s="971">
        <f t="shared" si="73"/>
        <v>3238530</v>
      </c>
      <c r="X49" s="1451">
        <f t="shared" si="38"/>
        <v>20877330</v>
      </c>
      <c r="Y49" s="972">
        <f>250000*5</f>
        <v>1250000</v>
      </c>
      <c r="Z49" s="972">
        <f>50000*5</f>
        <v>250000</v>
      </c>
      <c r="AA49" s="973">
        <f t="shared" ref="AA49" si="96">Z49+Y49</f>
        <v>1500000</v>
      </c>
      <c r="AB49" s="1449" t="s">
        <v>269</v>
      </c>
    </row>
    <row r="50" spans="1:28" s="13" customFormat="1" ht="20.25" customHeight="1">
      <c r="A50" s="1450"/>
      <c r="B50" s="1450"/>
      <c r="C50" s="1450"/>
      <c r="D50" s="1448"/>
      <c r="E50" s="929"/>
      <c r="F50" s="930"/>
      <c r="G50" s="977"/>
      <c r="H50" s="964">
        <f t="shared" si="7"/>
        <v>0</v>
      </c>
      <c r="I50" s="965">
        <f t="shared" si="8"/>
        <v>0</v>
      </c>
      <c r="J50" s="966"/>
      <c r="K50" s="974">
        <f t="shared" si="9"/>
        <v>0</v>
      </c>
      <c r="L50" s="968">
        <f>(K50*40)*E50</f>
        <v>0</v>
      </c>
      <c r="M50" s="968"/>
      <c r="N50" s="968"/>
      <c r="O50" s="969">
        <f t="shared" si="3"/>
        <v>0</v>
      </c>
      <c r="P50" s="970">
        <f t="shared" si="4"/>
        <v>0</v>
      </c>
      <c r="Q50" s="970">
        <f t="shared" si="16"/>
        <v>0</v>
      </c>
      <c r="R50" s="970">
        <f t="shared" si="5"/>
        <v>0</v>
      </c>
      <c r="S50" s="970">
        <f t="shared" si="71"/>
        <v>0</v>
      </c>
      <c r="T50" s="970">
        <f t="shared" si="77"/>
        <v>0</v>
      </c>
      <c r="U50" s="970">
        <f t="shared" si="78"/>
        <v>0</v>
      </c>
      <c r="V50" s="968">
        <f t="shared" si="72"/>
        <v>0</v>
      </c>
      <c r="W50" s="971">
        <f t="shared" si="73"/>
        <v>0</v>
      </c>
      <c r="X50" s="1452"/>
      <c r="Y50" s="975"/>
      <c r="Z50" s="975"/>
      <c r="AA50" s="976"/>
      <c r="AB50" s="1450"/>
    </row>
    <row r="51" spans="1:28" s="13" customFormat="1" ht="20.25" customHeight="1">
      <c r="A51" s="1449">
        <v>24</v>
      </c>
      <c r="B51" s="1449" t="s">
        <v>210</v>
      </c>
      <c r="C51" s="1449" t="s">
        <v>224</v>
      </c>
      <c r="D51" s="1447">
        <v>3</v>
      </c>
      <c r="E51" s="927">
        <v>2</v>
      </c>
      <c r="F51" s="930" t="s">
        <v>221</v>
      </c>
      <c r="G51" s="977">
        <v>2365000</v>
      </c>
      <c r="H51" s="964">
        <f t="shared" si="7"/>
        <v>4730000</v>
      </c>
      <c r="I51" s="965">
        <f t="shared" si="8"/>
        <v>1419000</v>
      </c>
      <c r="J51" s="966">
        <f>60000*12</f>
        <v>720000</v>
      </c>
      <c r="K51" s="967">
        <f t="shared" si="9"/>
        <v>16970</v>
      </c>
      <c r="L51" s="968">
        <f t="shared" ref="L51:L54" si="97">(K51*20)*E51</f>
        <v>678800</v>
      </c>
      <c r="M51" s="968">
        <f t="shared" ref="M51:M54" si="98">(K51*5)*E51</f>
        <v>169700</v>
      </c>
      <c r="N51" s="968"/>
      <c r="O51" s="969">
        <f t="shared" si="3"/>
        <v>2987500</v>
      </c>
      <c r="P51" s="970">
        <f t="shared" si="4"/>
        <v>643130</v>
      </c>
      <c r="Q51" s="970">
        <f t="shared" si="16"/>
        <v>347290</v>
      </c>
      <c r="R51" s="970">
        <f t="shared" si="5"/>
        <v>257380</v>
      </c>
      <c r="S51" s="970">
        <f t="shared" si="71"/>
        <v>26390</v>
      </c>
      <c r="T51" s="970">
        <f t="shared" si="77"/>
        <v>81030</v>
      </c>
      <c r="U51" s="970">
        <f t="shared" si="78"/>
        <v>61740</v>
      </c>
      <c r="V51" s="968">
        <f t="shared" si="72"/>
        <v>773830</v>
      </c>
      <c r="W51" s="971">
        <f t="shared" si="73"/>
        <v>1416960</v>
      </c>
      <c r="X51" s="1451">
        <f t="shared" si="38"/>
        <v>44754130</v>
      </c>
      <c r="Y51" s="972">
        <f t="shared" ref="Y51" si="99">250000*12</f>
        <v>3000000</v>
      </c>
      <c r="Z51" s="972">
        <f t="shared" ref="Z51" si="100">50000*12</f>
        <v>600000</v>
      </c>
      <c r="AA51" s="973">
        <f t="shared" ref="AA51" si="101">Z51+Y51</f>
        <v>3600000</v>
      </c>
      <c r="AB51" s="1449"/>
    </row>
    <row r="52" spans="1:28" s="13" customFormat="1" ht="20.25" customHeight="1">
      <c r="A52" s="1450"/>
      <c r="B52" s="1450"/>
      <c r="C52" s="1450"/>
      <c r="D52" s="1448"/>
      <c r="E52" s="929">
        <v>10</v>
      </c>
      <c r="F52" s="930" t="s">
        <v>196</v>
      </c>
      <c r="G52" s="977">
        <v>2428000</v>
      </c>
      <c r="H52" s="964">
        <f t="shared" si="7"/>
        <v>24280000</v>
      </c>
      <c r="I52" s="965">
        <f t="shared" si="8"/>
        <v>1456800</v>
      </c>
      <c r="J52" s="966"/>
      <c r="K52" s="974">
        <f t="shared" si="9"/>
        <v>17430</v>
      </c>
      <c r="L52" s="968">
        <f t="shared" si="97"/>
        <v>3486000</v>
      </c>
      <c r="M52" s="968">
        <f t="shared" si="98"/>
        <v>871500</v>
      </c>
      <c r="N52" s="968"/>
      <c r="O52" s="969">
        <f t="shared" si="3"/>
        <v>5814300</v>
      </c>
      <c r="P52" s="970">
        <f t="shared" si="4"/>
        <v>2507860</v>
      </c>
      <c r="Q52" s="970">
        <f t="shared" si="16"/>
        <v>1354240</v>
      </c>
      <c r="R52" s="970">
        <f t="shared" si="5"/>
        <v>1003650</v>
      </c>
      <c r="S52" s="970">
        <f t="shared" si="71"/>
        <v>102880</v>
      </c>
      <c r="T52" s="970">
        <f t="shared" si="77"/>
        <v>315990</v>
      </c>
      <c r="U52" s="970">
        <f t="shared" si="78"/>
        <v>240750</v>
      </c>
      <c r="V52" s="968">
        <f t="shared" si="72"/>
        <v>3017510</v>
      </c>
      <c r="W52" s="971">
        <f t="shared" si="73"/>
        <v>5525370</v>
      </c>
      <c r="X52" s="1452"/>
      <c r="Y52" s="975"/>
      <c r="Z52" s="975"/>
      <c r="AA52" s="976"/>
      <c r="AB52" s="1450"/>
    </row>
    <row r="53" spans="1:28" s="13" customFormat="1" ht="20.25" customHeight="1">
      <c r="A53" s="1449">
        <v>25</v>
      </c>
      <c r="B53" s="1449" t="s">
        <v>210</v>
      </c>
      <c r="C53" s="1449" t="s">
        <v>225</v>
      </c>
      <c r="D53" s="1447">
        <v>6</v>
      </c>
      <c r="E53" s="927">
        <v>5</v>
      </c>
      <c r="F53" s="930" t="s">
        <v>196</v>
      </c>
      <c r="G53" s="977">
        <v>2428000</v>
      </c>
      <c r="H53" s="964">
        <f t="shared" si="7"/>
        <v>12140000</v>
      </c>
      <c r="I53" s="965">
        <f t="shared" si="8"/>
        <v>1456800</v>
      </c>
      <c r="J53" s="966">
        <f>40000*12</f>
        <v>480000</v>
      </c>
      <c r="K53" s="967">
        <f t="shared" si="9"/>
        <v>17430</v>
      </c>
      <c r="L53" s="968">
        <f t="shared" si="97"/>
        <v>1743000</v>
      </c>
      <c r="M53" s="968">
        <f t="shared" si="98"/>
        <v>435750</v>
      </c>
      <c r="N53" s="968"/>
      <c r="O53" s="969">
        <f t="shared" si="3"/>
        <v>4115550</v>
      </c>
      <c r="P53" s="970">
        <f t="shared" si="4"/>
        <v>1354630</v>
      </c>
      <c r="Q53" s="970">
        <f t="shared" si="16"/>
        <v>731500</v>
      </c>
      <c r="R53" s="970">
        <f t="shared" si="5"/>
        <v>542130</v>
      </c>
      <c r="S53" s="970">
        <f t="shared" si="71"/>
        <v>55570</v>
      </c>
      <c r="T53" s="970">
        <f t="shared" si="77"/>
        <v>170680</v>
      </c>
      <c r="U53" s="970">
        <f t="shared" si="78"/>
        <v>130040</v>
      </c>
      <c r="V53" s="968">
        <f t="shared" si="72"/>
        <v>1629920</v>
      </c>
      <c r="W53" s="971">
        <f t="shared" si="73"/>
        <v>2984550</v>
      </c>
      <c r="X53" s="1451">
        <f t="shared" si="38"/>
        <v>45371130</v>
      </c>
      <c r="Y53" s="972">
        <f t="shared" ref="Y53" si="102">250000*12</f>
        <v>3000000</v>
      </c>
      <c r="Z53" s="972">
        <f t="shared" ref="Z53" si="103">50000*12</f>
        <v>600000</v>
      </c>
      <c r="AA53" s="973">
        <f t="shared" ref="AA53" si="104">Z53+Y53</f>
        <v>3600000</v>
      </c>
      <c r="AB53" s="1449"/>
    </row>
    <row r="54" spans="1:28" s="13" customFormat="1" ht="20.25" customHeight="1">
      <c r="A54" s="1450"/>
      <c r="B54" s="1450"/>
      <c r="C54" s="1450"/>
      <c r="D54" s="1448"/>
      <c r="E54" s="929">
        <v>7</v>
      </c>
      <c r="F54" s="930" t="s">
        <v>197</v>
      </c>
      <c r="G54" s="977">
        <v>2493000</v>
      </c>
      <c r="H54" s="964">
        <f t="shared" si="7"/>
        <v>17451000</v>
      </c>
      <c r="I54" s="965">
        <f t="shared" si="8"/>
        <v>1495800</v>
      </c>
      <c r="J54" s="966"/>
      <c r="K54" s="974">
        <f t="shared" si="9"/>
        <v>17890</v>
      </c>
      <c r="L54" s="968">
        <f t="shared" si="97"/>
        <v>2504600</v>
      </c>
      <c r="M54" s="968">
        <f t="shared" si="98"/>
        <v>626150</v>
      </c>
      <c r="N54" s="968"/>
      <c r="O54" s="969">
        <f t="shared" si="3"/>
        <v>4626550</v>
      </c>
      <c r="P54" s="970">
        <f t="shared" si="4"/>
        <v>1839800</v>
      </c>
      <c r="Q54" s="970">
        <f t="shared" si="16"/>
        <v>993490</v>
      </c>
      <c r="R54" s="970">
        <f t="shared" si="5"/>
        <v>736290</v>
      </c>
      <c r="S54" s="970">
        <f t="shared" si="71"/>
        <v>75470</v>
      </c>
      <c r="T54" s="970">
        <f t="shared" si="77"/>
        <v>231810</v>
      </c>
      <c r="U54" s="970">
        <f t="shared" si="78"/>
        <v>176620</v>
      </c>
      <c r="V54" s="968">
        <f t="shared" si="72"/>
        <v>2213680</v>
      </c>
      <c r="W54" s="971">
        <f t="shared" si="73"/>
        <v>4053480</v>
      </c>
      <c r="X54" s="1452"/>
      <c r="Y54" s="975"/>
      <c r="Z54" s="975"/>
      <c r="AA54" s="976"/>
      <c r="AB54" s="1450"/>
    </row>
    <row r="55" spans="1:28" s="13" customFormat="1" ht="18.75" customHeight="1">
      <c r="A55" s="1449">
        <v>26</v>
      </c>
      <c r="B55" s="1449" t="s">
        <v>210</v>
      </c>
      <c r="C55" s="1449" t="s">
        <v>226</v>
      </c>
      <c r="D55" s="1447">
        <v>3</v>
      </c>
      <c r="E55" s="927">
        <v>2</v>
      </c>
      <c r="F55" s="930" t="s">
        <v>196</v>
      </c>
      <c r="G55" s="977">
        <v>2428000</v>
      </c>
      <c r="H55" s="964">
        <f t="shared" si="7"/>
        <v>4856000</v>
      </c>
      <c r="I55" s="965">
        <f t="shared" si="8"/>
        <v>1456800</v>
      </c>
      <c r="J55" s="966">
        <f>120000*7</f>
        <v>840000</v>
      </c>
      <c r="K55" s="967">
        <f t="shared" si="9"/>
        <v>17430</v>
      </c>
      <c r="L55" s="968">
        <f>(K55*40)*E55</f>
        <v>1394400</v>
      </c>
      <c r="M55" s="968"/>
      <c r="N55" s="968"/>
      <c r="O55" s="969">
        <f t="shared" si="3"/>
        <v>3691200</v>
      </c>
      <c r="P55" s="970">
        <f t="shared" si="4"/>
        <v>712270</v>
      </c>
      <c r="Q55" s="970">
        <f t="shared" si="16"/>
        <v>384620</v>
      </c>
      <c r="R55" s="970">
        <f t="shared" si="5"/>
        <v>285050</v>
      </c>
      <c r="S55" s="970">
        <f t="shared" si="71"/>
        <v>29220</v>
      </c>
      <c r="T55" s="970">
        <f t="shared" si="77"/>
        <v>89750</v>
      </c>
      <c r="U55" s="970">
        <f t="shared" si="78"/>
        <v>68380</v>
      </c>
      <c r="V55" s="968">
        <f t="shared" si="72"/>
        <v>857020</v>
      </c>
      <c r="W55" s="971">
        <f t="shared" si="73"/>
        <v>1569290</v>
      </c>
      <c r="X55" s="1451">
        <f t="shared" si="38"/>
        <v>29105030</v>
      </c>
      <c r="Y55" s="972">
        <f>250000*7</f>
        <v>1750000</v>
      </c>
      <c r="Z55" s="972">
        <f>50000*7</f>
        <v>350000</v>
      </c>
      <c r="AA55" s="973">
        <f t="shared" ref="AA55" si="105">Z55+Y55</f>
        <v>2100000</v>
      </c>
      <c r="AB55" s="1449" t="s">
        <v>270</v>
      </c>
    </row>
    <row r="56" spans="1:28" s="13" customFormat="1" ht="18.75" customHeight="1">
      <c r="A56" s="1450"/>
      <c r="B56" s="1450"/>
      <c r="C56" s="1450"/>
      <c r="D56" s="1448"/>
      <c r="E56" s="929">
        <v>5</v>
      </c>
      <c r="F56" s="930" t="s">
        <v>197</v>
      </c>
      <c r="G56" s="977">
        <v>2493000</v>
      </c>
      <c r="H56" s="964">
        <f t="shared" si="7"/>
        <v>12465000</v>
      </c>
      <c r="I56" s="965"/>
      <c r="J56" s="966"/>
      <c r="K56" s="974">
        <f t="shared" si="9"/>
        <v>17890</v>
      </c>
      <c r="L56" s="968">
        <f>(K56*40)*E56</f>
        <v>3578000</v>
      </c>
      <c r="M56" s="968"/>
      <c r="N56" s="968"/>
      <c r="O56" s="969">
        <f t="shared" si="3"/>
        <v>3578000</v>
      </c>
      <c r="P56" s="970">
        <f t="shared" si="4"/>
        <v>1336920</v>
      </c>
      <c r="Q56" s="970">
        <f t="shared" si="16"/>
        <v>721940</v>
      </c>
      <c r="R56" s="970">
        <f t="shared" si="5"/>
        <v>535040</v>
      </c>
      <c r="S56" s="970">
        <f t="shared" si="71"/>
        <v>54850</v>
      </c>
      <c r="T56" s="970">
        <f t="shared" si="77"/>
        <v>168450</v>
      </c>
      <c r="U56" s="970">
        <f t="shared" si="78"/>
        <v>128340</v>
      </c>
      <c r="V56" s="968">
        <f t="shared" si="72"/>
        <v>1608620</v>
      </c>
      <c r="W56" s="971">
        <f t="shared" si="73"/>
        <v>2945540</v>
      </c>
      <c r="X56" s="1452"/>
      <c r="Y56" s="975"/>
      <c r="Z56" s="975"/>
      <c r="AA56" s="976"/>
      <c r="AB56" s="1450"/>
    </row>
    <row r="57" spans="1:28" s="13" customFormat="1" ht="18.75" customHeight="1">
      <c r="A57" s="1449">
        <v>27</v>
      </c>
      <c r="B57" s="1449" t="s">
        <v>210</v>
      </c>
      <c r="C57" s="1449" t="s">
        <v>227</v>
      </c>
      <c r="D57" s="1447">
        <v>7</v>
      </c>
      <c r="E57" s="927">
        <v>6</v>
      </c>
      <c r="F57" s="930" t="s">
        <v>220</v>
      </c>
      <c r="G57" s="977">
        <v>2304000</v>
      </c>
      <c r="H57" s="964">
        <f t="shared" si="7"/>
        <v>13824000</v>
      </c>
      <c r="I57" s="965">
        <f t="shared" si="8"/>
        <v>1382400</v>
      </c>
      <c r="J57" s="966">
        <f>100000*12</f>
        <v>1200000</v>
      </c>
      <c r="K57" s="967">
        <f t="shared" si="9"/>
        <v>16540</v>
      </c>
      <c r="L57" s="968">
        <f t="shared" ref="L57:L58" si="106">(K57*20)*E57</f>
        <v>1984800</v>
      </c>
      <c r="M57" s="968">
        <f t="shared" ref="M57:M58" si="107">(K57*5)*E57</f>
        <v>496200</v>
      </c>
      <c r="N57" s="968"/>
      <c r="O57" s="969">
        <f t="shared" si="3"/>
        <v>5063400</v>
      </c>
      <c r="P57" s="970">
        <f t="shared" si="4"/>
        <v>1573950</v>
      </c>
      <c r="Q57" s="970">
        <f t="shared" si="16"/>
        <v>849930</v>
      </c>
      <c r="R57" s="970">
        <f t="shared" si="5"/>
        <v>629900</v>
      </c>
      <c r="S57" s="970">
        <f t="shared" si="71"/>
        <v>64570</v>
      </c>
      <c r="T57" s="970">
        <f t="shared" si="77"/>
        <v>198320</v>
      </c>
      <c r="U57" s="970">
        <f t="shared" si="78"/>
        <v>151100</v>
      </c>
      <c r="V57" s="968">
        <f t="shared" si="72"/>
        <v>1893820</v>
      </c>
      <c r="W57" s="971">
        <f t="shared" si="73"/>
        <v>3467770</v>
      </c>
      <c r="X57" s="1451">
        <f t="shared" si="38"/>
        <v>43842880</v>
      </c>
      <c r="Y57" s="972">
        <f t="shared" ref="Y57" si="108">250000*12</f>
        <v>3000000</v>
      </c>
      <c r="Z57" s="972">
        <f t="shared" ref="Z57" si="109">50000*12</f>
        <v>600000</v>
      </c>
      <c r="AA57" s="973">
        <f t="shared" ref="AA57" si="110">Z57+Y57</f>
        <v>3600000</v>
      </c>
      <c r="AB57" s="1449"/>
    </row>
    <row r="58" spans="1:28" s="13" customFormat="1" ht="18.75" customHeight="1">
      <c r="A58" s="1450"/>
      <c r="B58" s="1450"/>
      <c r="C58" s="1450"/>
      <c r="D58" s="1448"/>
      <c r="E58" s="929">
        <v>6</v>
      </c>
      <c r="F58" s="930" t="s">
        <v>221</v>
      </c>
      <c r="G58" s="977">
        <v>2365000</v>
      </c>
      <c r="H58" s="964">
        <f t="shared" si="7"/>
        <v>14190000</v>
      </c>
      <c r="I58" s="965">
        <f t="shared" si="8"/>
        <v>1419000</v>
      </c>
      <c r="J58" s="966"/>
      <c r="K58" s="974">
        <f t="shared" si="9"/>
        <v>16970</v>
      </c>
      <c r="L58" s="968">
        <f t="shared" si="106"/>
        <v>2036400</v>
      </c>
      <c r="M58" s="968">
        <f t="shared" si="107"/>
        <v>509100</v>
      </c>
      <c r="N58" s="968"/>
      <c r="O58" s="969">
        <f t="shared" si="3"/>
        <v>3964500</v>
      </c>
      <c r="P58" s="970">
        <f t="shared" si="4"/>
        <v>1512880</v>
      </c>
      <c r="Q58" s="970">
        <f t="shared" si="16"/>
        <v>816950</v>
      </c>
      <c r="R58" s="970">
        <f t="shared" si="5"/>
        <v>605460</v>
      </c>
      <c r="S58" s="970">
        <f t="shared" si="71"/>
        <v>62060</v>
      </c>
      <c r="T58" s="970">
        <f t="shared" si="77"/>
        <v>190620</v>
      </c>
      <c r="U58" s="970">
        <f t="shared" si="78"/>
        <v>145240</v>
      </c>
      <c r="V58" s="968">
        <f t="shared" si="72"/>
        <v>1820330</v>
      </c>
      <c r="W58" s="971">
        <f t="shared" si="73"/>
        <v>3333210</v>
      </c>
      <c r="X58" s="1452"/>
      <c r="Y58" s="975"/>
      <c r="Z58" s="975"/>
      <c r="AA58" s="976"/>
      <c r="AB58" s="1450"/>
    </row>
    <row r="59" spans="1:28" s="13" customFormat="1" ht="18.75" customHeight="1">
      <c r="A59" s="1449">
        <v>28</v>
      </c>
      <c r="B59" s="1449" t="s">
        <v>210</v>
      </c>
      <c r="C59" s="1449" t="s">
        <v>228</v>
      </c>
      <c r="D59" s="1447">
        <v>7</v>
      </c>
      <c r="E59" s="927">
        <v>6</v>
      </c>
      <c r="F59" s="930" t="s">
        <v>229</v>
      </c>
      <c r="G59" s="977">
        <v>2175000</v>
      </c>
      <c r="H59" s="964">
        <f t="shared" si="7"/>
        <v>13050000</v>
      </c>
      <c r="I59" s="965">
        <f t="shared" si="8"/>
        <v>1305000</v>
      </c>
      <c r="J59" s="966"/>
      <c r="K59" s="967">
        <f t="shared" si="9"/>
        <v>15610</v>
      </c>
      <c r="L59" s="968">
        <f>(K59*40)*E59</f>
        <v>3746400</v>
      </c>
      <c r="M59" s="968"/>
      <c r="N59" s="968"/>
      <c r="O59" s="969">
        <f t="shared" si="3"/>
        <v>5051400</v>
      </c>
      <c r="P59" s="970">
        <f t="shared" si="4"/>
        <v>1508450</v>
      </c>
      <c r="Q59" s="970">
        <f t="shared" si="16"/>
        <v>814560</v>
      </c>
      <c r="R59" s="970">
        <f t="shared" si="5"/>
        <v>603690</v>
      </c>
      <c r="S59" s="970">
        <f t="shared" si="71"/>
        <v>61880</v>
      </c>
      <c r="T59" s="970">
        <f t="shared" si="77"/>
        <v>190060</v>
      </c>
      <c r="U59" s="970">
        <f t="shared" si="78"/>
        <v>144810</v>
      </c>
      <c r="V59" s="968">
        <f t="shared" si="72"/>
        <v>1815000</v>
      </c>
      <c r="W59" s="971">
        <f t="shared" si="73"/>
        <v>3323450</v>
      </c>
      <c r="X59" s="1451">
        <f t="shared" si="38"/>
        <v>43498800</v>
      </c>
      <c r="Y59" s="972">
        <f t="shared" ref="Y59" si="111">250000*12</f>
        <v>3000000</v>
      </c>
      <c r="Z59" s="972">
        <f t="shared" ref="Z59" si="112">50000*12</f>
        <v>600000</v>
      </c>
      <c r="AA59" s="973">
        <f t="shared" ref="AA59" si="113">Z59+Y59</f>
        <v>3600000</v>
      </c>
      <c r="AB59" s="1449"/>
    </row>
    <row r="60" spans="1:28" s="13" customFormat="1" ht="18.75" customHeight="1">
      <c r="A60" s="1450"/>
      <c r="B60" s="1450"/>
      <c r="C60" s="1450"/>
      <c r="D60" s="1448"/>
      <c r="E60" s="929">
        <v>6</v>
      </c>
      <c r="F60" s="930" t="s">
        <v>215</v>
      </c>
      <c r="G60" s="977">
        <v>2241000</v>
      </c>
      <c r="H60" s="964">
        <f t="shared" si="7"/>
        <v>13446000</v>
      </c>
      <c r="I60" s="965">
        <f t="shared" si="8"/>
        <v>1344600</v>
      </c>
      <c r="J60" s="966"/>
      <c r="K60" s="974">
        <f t="shared" si="9"/>
        <v>16080</v>
      </c>
      <c r="L60" s="968">
        <f>(K60*40)*E60</f>
        <v>3859200</v>
      </c>
      <c r="M60" s="968"/>
      <c r="N60" s="968"/>
      <c r="O60" s="969">
        <f t="shared" si="3"/>
        <v>5203800</v>
      </c>
      <c r="P60" s="970">
        <f t="shared" si="4"/>
        <v>1554150</v>
      </c>
      <c r="Q60" s="970">
        <f t="shared" si="16"/>
        <v>839240</v>
      </c>
      <c r="R60" s="970">
        <f t="shared" si="5"/>
        <v>621980</v>
      </c>
      <c r="S60" s="970">
        <f t="shared" si="71"/>
        <v>63760</v>
      </c>
      <c r="T60" s="970">
        <f t="shared" si="77"/>
        <v>195820</v>
      </c>
      <c r="U60" s="970">
        <f t="shared" si="78"/>
        <v>149200</v>
      </c>
      <c r="V60" s="968">
        <f t="shared" si="72"/>
        <v>1870000</v>
      </c>
      <c r="W60" s="971">
        <f t="shared" si="73"/>
        <v>3424150</v>
      </c>
      <c r="X60" s="1452"/>
      <c r="Y60" s="975"/>
      <c r="Z60" s="975"/>
      <c r="AA60" s="976"/>
      <c r="AB60" s="1450"/>
    </row>
    <row r="61" spans="1:28" s="13" customFormat="1" ht="18.75" customHeight="1">
      <c r="A61" s="1449">
        <v>29</v>
      </c>
      <c r="B61" s="1449" t="s">
        <v>210</v>
      </c>
      <c r="C61" s="1449" t="s">
        <v>230</v>
      </c>
      <c r="D61" s="1447">
        <v>5</v>
      </c>
      <c r="E61" s="927">
        <v>4</v>
      </c>
      <c r="F61" s="930" t="s">
        <v>200</v>
      </c>
      <c r="G61" s="977">
        <v>2047000</v>
      </c>
      <c r="H61" s="964">
        <f t="shared" si="7"/>
        <v>8188000</v>
      </c>
      <c r="I61" s="965">
        <f t="shared" si="8"/>
        <v>1228200</v>
      </c>
      <c r="J61" s="966"/>
      <c r="K61" s="967">
        <f t="shared" si="9"/>
        <v>14690</v>
      </c>
      <c r="L61" s="968">
        <f t="shared" ref="L61:L80" si="114">(K61*40)*E61</f>
        <v>2350400</v>
      </c>
      <c r="M61" s="968"/>
      <c r="N61" s="968"/>
      <c r="O61" s="969">
        <f t="shared" si="3"/>
        <v>3578600</v>
      </c>
      <c r="P61" s="970">
        <f t="shared" si="4"/>
        <v>980550</v>
      </c>
      <c r="Q61" s="970">
        <f t="shared" si="16"/>
        <v>529500</v>
      </c>
      <c r="R61" s="970">
        <f t="shared" si="5"/>
        <v>392420</v>
      </c>
      <c r="S61" s="970">
        <f t="shared" si="71"/>
        <v>40230</v>
      </c>
      <c r="T61" s="970">
        <f t="shared" si="77"/>
        <v>123550</v>
      </c>
      <c r="U61" s="970">
        <f t="shared" si="78"/>
        <v>94130</v>
      </c>
      <c r="V61" s="968">
        <f t="shared" si="72"/>
        <v>1179830</v>
      </c>
      <c r="W61" s="971">
        <f t="shared" si="73"/>
        <v>2160380</v>
      </c>
      <c r="X61" s="1451">
        <f t="shared" si="38"/>
        <v>41128770</v>
      </c>
      <c r="Y61" s="972">
        <f>200000*4</f>
        <v>800000</v>
      </c>
      <c r="Z61" s="972">
        <f t="shared" ref="Z61" si="115">50000*12</f>
        <v>600000</v>
      </c>
      <c r="AA61" s="973">
        <f>SUM(Y61:Z62)</f>
        <v>3400000</v>
      </c>
      <c r="AB61" s="1449"/>
    </row>
    <row r="62" spans="1:28" s="13" customFormat="1" ht="20.25" customHeight="1">
      <c r="A62" s="1450"/>
      <c r="B62" s="1450"/>
      <c r="C62" s="1450"/>
      <c r="D62" s="1448"/>
      <c r="E62" s="929">
        <v>8</v>
      </c>
      <c r="F62" s="930" t="s">
        <v>201</v>
      </c>
      <c r="G62" s="977">
        <v>2109000</v>
      </c>
      <c r="H62" s="964">
        <f t="shared" si="7"/>
        <v>16872000</v>
      </c>
      <c r="I62" s="965">
        <f t="shared" si="8"/>
        <v>1265400</v>
      </c>
      <c r="J62" s="966"/>
      <c r="K62" s="974">
        <f t="shared" si="9"/>
        <v>15140</v>
      </c>
      <c r="L62" s="968">
        <f t="shared" si="114"/>
        <v>4844800</v>
      </c>
      <c r="M62" s="968"/>
      <c r="N62" s="968"/>
      <c r="O62" s="969">
        <f t="shared" si="3"/>
        <v>6110200</v>
      </c>
      <c r="P62" s="970">
        <f t="shared" si="4"/>
        <v>1915190</v>
      </c>
      <c r="Q62" s="970">
        <f t="shared" si="16"/>
        <v>1034200</v>
      </c>
      <c r="R62" s="970">
        <f t="shared" si="5"/>
        <v>766460</v>
      </c>
      <c r="S62" s="970">
        <f t="shared" si="71"/>
        <v>78570</v>
      </c>
      <c r="T62" s="970">
        <f t="shared" si="77"/>
        <v>241310</v>
      </c>
      <c r="U62" s="970">
        <f t="shared" si="78"/>
        <v>183860</v>
      </c>
      <c r="V62" s="968">
        <f t="shared" si="72"/>
        <v>2304400</v>
      </c>
      <c r="W62" s="971">
        <f t="shared" si="73"/>
        <v>4219590</v>
      </c>
      <c r="X62" s="1452"/>
      <c r="Y62" s="975">
        <f>250000*8</f>
        <v>2000000</v>
      </c>
      <c r="Z62" s="975"/>
      <c r="AA62" s="976"/>
      <c r="AB62" s="1450"/>
    </row>
    <row r="63" spans="1:28" s="13" customFormat="1" ht="20.25" customHeight="1">
      <c r="A63" s="1449">
        <v>30</v>
      </c>
      <c r="B63" s="1449" t="s">
        <v>210</v>
      </c>
      <c r="C63" s="1449" t="s">
        <v>231</v>
      </c>
      <c r="D63" s="1447">
        <v>10</v>
      </c>
      <c r="E63" s="927">
        <v>9</v>
      </c>
      <c r="F63" s="930" t="s">
        <v>214</v>
      </c>
      <c r="G63" s="977">
        <v>1987000</v>
      </c>
      <c r="H63" s="964">
        <f t="shared" si="7"/>
        <v>17883000</v>
      </c>
      <c r="I63" s="965">
        <f t="shared" si="8"/>
        <v>1192200</v>
      </c>
      <c r="J63" s="966"/>
      <c r="K63" s="967">
        <f t="shared" si="9"/>
        <v>14260</v>
      </c>
      <c r="L63" s="968">
        <f t="shared" si="114"/>
        <v>5133600</v>
      </c>
      <c r="M63" s="968"/>
      <c r="N63" s="968"/>
      <c r="O63" s="969">
        <f t="shared" si="3"/>
        <v>6325800</v>
      </c>
      <c r="P63" s="970">
        <f t="shared" si="4"/>
        <v>2017400</v>
      </c>
      <c r="Q63" s="970">
        <f t="shared" si="16"/>
        <v>1089400</v>
      </c>
      <c r="R63" s="970">
        <f t="shared" si="5"/>
        <v>807370</v>
      </c>
      <c r="S63" s="970">
        <f t="shared" si="71"/>
        <v>82760</v>
      </c>
      <c r="T63" s="970">
        <f t="shared" si="77"/>
        <v>254190</v>
      </c>
      <c r="U63" s="970">
        <f t="shared" si="78"/>
        <v>193670</v>
      </c>
      <c r="V63" s="968">
        <f t="shared" si="72"/>
        <v>2427390</v>
      </c>
      <c r="W63" s="971">
        <f t="shared" si="73"/>
        <v>4444790</v>
      </c>
      <c r="X63" s="1451">
        <f t="shared" si="38"/>
        <v>39462260</v>
      </c>
      <c r="Y63" s="972">
        <f>200000*12</f>
        <v>2400000</v>
      </c>
      <c r="Z63" s="972">
        <f t="shared" ref="Z63" si="116">50000*12</f>
        <v>600000</v>
      </c>
      <c r="AA63" s="973">
        <f t="shared" ref="AA63" si="117">SUM(Y63:Z64)</f>
        <v>3000000</v>
      </c>
      <c r="AB63" s="1449"/>
    </row>
    <row r="64" spans="1:28" s="13" customFormat="1" ht="20.25" customHeight="1">
      <c r="A64" s="1450"/>
      <c r="B64" s="1450"/>
      <c r="C64" s="1450"/>
      <c r="D64" s="1448"/>
      <c r="E64" s="929">
        <v>3</v>
      </c>
      <c r="F64" s="930" t="s">
        <v>200</v>
      </c>
      <c r="G64" s="977">
        <v>2047000</v>
      </c>
      <c r="H64" s="964">
        <f t="shared" si="7"/>
        <v>6141000</v>
      </c>
      <c r="I64" s="965">
        <f t="shared" si="8"/>
        <v>1228200</v>
      </c>
      <c r="J64" s="966"/>
      <c r="K64" s="974">
        <f t="shared" si="9"/>
        <v>14690</v>
      </c>
      <c r="L64" s="968">
        <f t="shared" si="114"/>
        <v>1762800</v>
      </c>
      <c r="M64" s="968"/>
      <c r="N64" s="968"/>
      <c r="O64" s="969">
        <f t="shared" si="3"/>
        <v>2991000</v>
      </c>
      <c r="P64" s="970">
        <f t="shared" si="4"/>
        <v>761000</v>
      </c>
      <c r="Q64" s="970">
        <f t="shared" si="16"/>
        <v>410940</v>
      </c>
      <c r="R64" s="970">
        <f t="shared" si="5"/>
        <v>304560</v>
      </c>
      <c r="S64" s="970">
        <f t="shared" si="71"/>
        <v>31220</v>
      </c>
      <c r="T64" s="970">
        <f t="shared" si="77"/>
        <v>95890</v>
      </c>
      <c r="U64" s="970">
        <f t="shared" si="78"/>
        <v>73060</v>
      </c>
      <c r="V64" s="968">
        <f t="shared" si="72"/>
        <v>915670</v>
      </c>
      <c r="W64" s="971">
        <f t="shared" si="73"/>
        <v>1676670</v>
      </c>
      <c r="X64" s="1452"/>
      <c r="Y64" s="975"/>
      <c r="Z64" s="975"/>
      <c r="AA64" s="976"/>
      <c r="AB64" s="1450"/>
    </row>
    <row r="65" spans="1:28" s="13" customFormat="1" ht="20.25" customHeight="1">
      <c r="A65" s="1449">
        <v>31</v>
      </c>
      <c r="B65" s="1449" t="s">
        <v>210</v>
      </c>
      <c r="C65" s="1449" t="s">
        <v>232</v>
      </c>
      <c r="D65" s="1447">
        <v>5</v>
      </c>
      <c r="E65" s="927">
        <v>4</v>
      </c>
      <c r="F65" s="930" t="s">
        <v>200</v>
      </c>
      <c r="G65" s="977">
        <v>2047000</v>
      </c>
      <c r="H65" s="964">
        <f t="shared" si="7"/>
        <v>8188000</v>
      </c>
      <c r="I65" s="965">
        <f t="shared" si="8"/>
        <v>1228200</v>
      </c>
      <c r="J65" s="966">
        <f>40000*12</f>
        <v>480000</v>
      </c>
      <c r="K65" s="967">
        <f t="shared" si="9"/>
        <v>14690</v>
      </c>
      <c r="L65" s="968">
        <f t="shared" si="114"/>
        <v>2350400</v>
      </c>
      <c r="M65" s="968"/>
      <c r="N65" s="968"/>
      <c r="O65" s="969">
        <f t="shared" si="3"/>
        <v>4058600</v>
      </c>
      <c r="P65" s="970">
        <f t="shared" si="4"/>
        <v>1020550</v>
      </c>
      <c r="Q65" s="970">
        <f t="shared" si="16"/>
        <v>551100</v>
      </c>
      <c r="R65" s="970">
        <f t="shared" si="5"/>
        <v>408430</v>
      </c>
      <c r="S65" s="970">
        <f t="shared" si="71"/>
        <v>41870</v>
      </c>
      <c r="T65" s="970">
        <f t="shared" si="77"/>
        <v>128590</v>
      </c>
      <c r="U65" s="970">
        <f t="shared" si="78"/>
        <v>97970</v>
      </c>
      <c r="V65" s="968">
        <f t="shared" si="72"/>
        <v>1227960</v>
      </c>
      <c r="W65" s="971">
        <f t="shared" si="73"/>
        <v>2248510</v>
      </c>
      <c r="X65" s="1451">
        <f t="shared" si="38"/>
        <v>41696900</v>
      </c>
      <c r="Y65" s="972">
        <f>200000*4</f>
        <v>800000</v>
      </c>
      <c r="Z65" s="972">
        <f t="shared" ref="Z65" si="118">50000*12</f>
        <v>600000</v>
      </c>
      <c r="AA65" s="973">
        <f t="shared" ref="AA65" si="119">SUM(Y65:Z66)</f>
        <v>3400000</v>
      </c>
      <c r="AB65" s="1449"/>
    </row>
    <row r="66" spans="1:28" s="13" customFormat="1" ht="20.25" customHeight="1">
      <c r="A66" s="1450"/>
      <c r="B66" s="1450"/>
      <c r="C66" s="1450"/>
      <c r="D66" s="1448"/>
      <c r="E66" s="929">
        <v>8</v>
      </c>
      <c r="F66" s="930" t="s">
        <v>201</v>
      </c>
      <c r="G66" s="977">
        <v>2109000</v>
      </c>
      <c r="H66" s="964">
        <f t="shared" si="7"/>
        <v>16872000</v>
      </c>
      <c r="I66" s="965">
        <f t="shared" si="8"/>
        <v>1265400</v>
      </c>
      <c r="J66" s="966"/>
      <c r="K66" s="974">
        <f t="shared" si="9"/>
        <v>15140</v>
      </c>
      <c r="L66" s="968">
        <f t="shared" si="114"/>
        <v>4844800</v>
      </c>
      <c r="M66" s="968"/>
      <c r="N66" s="968"/>
      <c r="O66" s="969">
        <f t="shared" si="3"/>
        <v>6110200</v>
      </c>
      <c r="P66" s="970">
        <f t="shared" si="4"/>
        <v>1915190</v>
      </c>
      <c r="Q66" s="970">
        <f t="shared" si="16"/>
        <v>1034200</v>
      </c>
      <c r="R66" s="970">
        <f t="shared" si="5"/>
        <v>766460</v>
      </c>
      <c r="S66" s="970">
        <f t="shared" si="71"/>
        <v>78570</v>
      </c>
      <c r="T66" s="970">
        <f t="shared" si="77"/>
        <v>241310</v>
      </c>
      <c r="U66" s="970">
        <f t="shared" si="78"/>
        <v>183860</v>
      </c>
      <c r="V66" s="968">
        <f t="shared" si="72"/>
        <v>2304400</v>
      </c>
      <c r="W66" s="971">
        <f t="shared" si="73"/>
        <v>4219590</v>
      </c>
      <c r="X66" s="1452"/>
      <c r="Y66" s="975">
        <f>250000*8</f>
        <v>2000000</v>
      </c>
      <c r="Z66" s="975"/>
      <c r="AA66" s="976"/>
      <c r="AB66" s="1450"/>
    </row>
    <row r="67" spans="1:28" s="13" customFormat="1" ht="20.25" customHeight="1">
      <c r="A67" s="1449">
        <v>32</v>
      </c>
      <c r="B67" s="1449" t="s">
        <v>210</v>
      </c>
      <c r="C67" s="1449" t="s">
        <v>233</v>
      </c>
      <c r="D67" s="1447">
        <v>11</v>
      </c>
      <c r="E67" s="927">
        <v>10</v>
      </c>
      <c r="F67" s="930" t="s">
        <v>200</v>
      </c>
      <c r="G67" s="977">
        <v>2047000</v>
      </c>
      <c r="H67" s="964">
        <f t="shared" si="7"/>
        <v>20470000</v>
      </c>
      <c r="I67" s="965">
        <f t="shared" si="8"/>
        <v>1228200</v>
      </c>
      <c r="J67" s="966"/>
      <c r="K67" s="967">
        <f t="shared" si="9"/>
        <v>14690</v>
      </c>
      <c r="L67" s="968">
        <f t="shared" si="114"/>
        <v>5876000</v>
      </c>
      <c r="M67" s="968"/>
      <c r="N67" s="968"/>
      <c r="O67" s="969">
        <f t="shared" si="3"/>
        <v>7104200</v>
      </c>
      <c r="P67" s="970">
        <f t="shared" si="4"/>
        <v>2297850</v>
      </c>
      <c r="Q67" s="970">
        <f t="shared" si="16"/>
        <v>1240840</v>
      </c>
      <c r="R67" s="970">
        <f t="shared" si="5"/>
        <v>919600</v>
      </c>
      <c r="S67" s="970">
        <f t="shared" si="71"/>
        <v>94260</v>
      </c>
      <c r="T67" s="970">
        <f t="shared" si="77"/>
        <v>289530</v>
      </c>
      <c r="U67" s="970">
        <f t="shared" si="78"/>
        <v>220590</v>
      </c>
      <c r="V67" s="968">
        <f t="shared" si="72"/>
        <v>2764820</v>
      </c>
      <c r="W67" s="971">
        <f t="shared" si="73"/>
        <v>5062670</v>
      </c>
      <c r="X67" s="1451">
        <f t="shared" si="38"/>
        <v>40560630</v>
      </c>
      <c r="Y67" s="972">
        <f>200000*10</f>
        <v>2000000</v>
      </c>
      <c r="Z67" s="972">
        <f>50000*12</f>
        <v>600000</v>
      </c>
      <c r="AA67" s="973">
        <f t="shared" ref="AA67" si="120">SUM(Y67:Z68)</f>
        <v>3100000</v>
      </c>
      <c r="AB67" s="1449"/>
    </row>
    <row r="68" spans="1:28" s="13" customFormat="1" ht="20.25" customHeight="1">
      <c r="A68" s="1450"/>
      <c r="B68" s="1450"/>
      <c r="C68" s="1450"/>
      <c r="D68" s="1448"/>
      <c r="E68" s="929">
        <v>2</v>
      </c>
      <c r="F68" s="930" t="s">
        <v>201</v>
      </c>
      <c r="G68" s="977">
        <v>2109000</v>
      </c>
      <c r="H68" s="964">
        <f t="shared" si="7"/>
        <v>4218000</v>
      </c>
      <c r="I68" s="965">
        <f t="shared" si="8"/>
        <v>1265400</v>
      </c>
      <c r="J68" s="966"/>
      <c r="K68" s="974">
        <f t="shared" si="9"/>
        <v>15140</v>
      </c>
      <c r="L68" s="968">
        <f t="shared" si="114"/>
        <v>1211200</v>
      </c>
      <c r="M68" s="968"/>
      <c r="N68" s="968"/>
      <c r="O68" s="969">
        <f t="shared" si="3"/>
        <v>2476600</v>
      </c>
      <c r="P68" s="970">
        <f t="shared" si="4"/>
        <v>557890</v>
      </c>
      <c r="Q68" s="970">
        <f t="shared" si="16"/>
        <v>301260</v>
      </c>
      <c r="R68" s="970">
        <f t="shared" si="5"/>
        <v>223270</v>
      </c>
      <c r="S68" s="970">
        <f t="shared" si="71"/>
        <v>22890</v>
      </c>
      <c r="T68" s="970">
        <f t="shared" si="77"/>
        <v>70290</v>
      </c>
      <c r="U68" s="970">
        <f t="shared" si="78"/>
        <v>53560</v>
      </c>
      <c r="V68" s="968">
        <f t="shared" si="72"/>
        <v>671270</v>
      </c>
      <c r="W68" s="971">
        <f t="shared" si="73"/>
        <v>1229160</v>
      </c>
      <c r="X68" s="1452"/>
      <c r="Y68" s="975">
        <f>250000*2</f>
        <v>500000</v>
      </c>
      <c r="Z68" s="975"/>
      <c r="AA68" s="976"/>
      <c r="AB68" s="1450"/>
    </row>
    <row r="69" spans="1:28" s="13" customFormat="1" ht="20.25" customHeight="1">
      <c r="A69" s="1449">
        <v>33</v>
      </c>
      <c r="B69" s="1449" t="s">
        <v>210</v>
      </c>
      <c r="C69" s="1449" t="s">
        <v>234</v>
      </c>
      <c r="D69" s="1447">
        <v>11</v>
      </c>
      <c r="E69" s="927">
        <v>10</v>
      </c>
      <c r="F69" s="930" t="s">
        <v>200</v>
      </c>
      <c r="G69" s="977">
        <v>2047000</v>
      </c>
      <c r="H69" s="964">
        <f t="shared" si="7"/>
        <v>20470000</v>
      </c>
      <c r="I69" s="965">
        <f t="shared" si="8"/>
        <v>1228200</v>
      </c>
      <c r="J69" s="966">
        <f>20000*12</f>
        <v>240000</v>
      </c>
      <c r="K69" s="967">
        <f t="shared" si="9"/>
        <v>14690</v>
      </c>
      <c r="L69" s="968">
        <f t="shared" si="114"/>
        <v>5876000</v>
      </c>
      <c r="M69" s="968"/>
      <c r="N69" s="968"/>
      <c r="O69" s="969">
        <f t="shared" si="3"/>
        <v>7344200</v>
      </c>
      <c r="P69" s="970">
        <f t="shared" si="4"/>
        <v>2317850</v>
      </c>
      <c r="Q69" s="970">
        <f t="shared" si="16"/>
        <v>1251640</v>
      </c>
      <c r="R69" s="970">
        <f t="shared" si="5"/>
        <v>927610</v>
      </c>
      <c r="S69" s="970">
        <f t="shared" ref="S69:S100" si="121">ROUNDUP(R69*10.25%,-1)</f>
        <v>95090</v>
      </c>
      <c r="T69" s="970">
        <f t="shared" si="77"/>
        <v>292050</v>
      </c>
      <c r="U69" s="970">
        <f t="shared" si="78"/>
        <v>222510</v>
      </c>
      <c r="V69" s="968">
        <f t="shared" ref="V69:V100" si="122">SUM(Q69:U69)</f>
        <v>2788900</v>
      </c>
      <c r="W69" s="971">
        <f t="shared" ref="W69:W100" si="123">SUM(P69,V69)</f>
        <v>5106750</v>
      </c>
      <c r="X69" s="1451">
        <f t="shared" si="38"/>
        <v>40844710</v>
      </c>
      <c r="Y69" s="972">
        <f>200000*10</f>
        <v>2000000</v>
      </c>
      <c r="Z69" s="972">
        <f t="shared" ref="Z69" si="124">50000*12</f>
        <v>600000</v>
      </c>
      <c r="AA69" s="973">
        <f t="shared" ref="AA69" si="125">SUM(Y69:Z70)</f>
        <v>3100000</v>
      </c>
      <c r="AB69" s="1449"/>
    </row>
    <row r="70" spans="1:28" s="13" customFormat="1" ht="20.25" customHeight="1">
      <c r="A70" s="1450"/>
      <c r="B70" s="1450"/>
      <c r="C70" s="1450"/>
      <c r="D70" s="1448"/>
      <c r="E70" s="929">
        <v>2</v>
      </c>
      <c r="F70" s="930" t="s">
        <v>201</v>
      </c>
      <c r="G70" s="977">
        <v>2109000</v>
      </c>
      <c r="H70" s="964">
        <f t="shared" si="7"/>
        <v>4218000</v>
      </c>
      <c r="I70" s="965">
        <f t="shared" si="8"/>
        <v>1265400</v>
      </c>
      <c r="J70" s="966"/>
      <c r="K70" s="974">
        <f t="shared" si="9"/>
        <v>15140</v>
      </c>
      <c r="L70" s="968">
        <f t="shared" si="114"/>
        <v>1211200</v>
      </c>
      <c r="M70" s="968"/>
      <c r="N70" s="968"/>
      <c r="O70" s="969">
        <f t="shared" ref="O70:O122" si="126">SUM(I70,J70,L70,M70,N70)</f>
        <v>2476600</v>
      </c>
      <c r="P70" s="970">
        <f t="shared" ref="P70:P122" si="127">ROUNDUP((H70+I70+J70+L70+M70)*1/12,-1)</f>
        <v>557890</v>
      </c>
      <c r="Q70" s="970">
        <f t="shared" si="16"/>
        <v>301260</v>
      </c>
      <c r="R70" s="970">
        <f t="shared" ref="R70:R122" si="128">ROUNDUP((H70+I70+J70+L70+M70)*3.335%,-1)</f>
        <v>223270</v>
      </c>
      <c r="S70" s="970">
        <f t="shared" si="121"/>
        <v>22890</v>
      </c>
      <c r="T70" s="970">
        <f t="shared" si="77"/>
        <v>70290</v>
      </c>
      <c r="U70" s="970">
        <f t="shared" si="78"/>
        <v>53560</v>
      </c>
      <c r="V70" s="968">
        <f t="shared" si="122"/>
        <v>671270</v>
      </c>
      <c r="W70" s="971">
        <f t="shared" si="123"/>
        <v>1229160</v>
      </c>
      <c r="X70" s="1452"/>
      <c r="Y70" s="975">
        <f>250000*2</f>
        <v>500000</v>
      </c>
      <c r="Z70" s="975"/>
      <c r="AA70" s="976"/>
      <c r="AB70" s="1450"/>
    </row>
    <row r="71" spans="1:28" s="13" customFormat="1" ht="20.25" customHeight="1">
      <c r="A71" s="1449">
        <v>34</v>
      </c>
      <c r="B71" s="1449" t="s">
        <v>210</v>
      </c>
      <c r="C71" s="1449" t="s">
        <v>235</v>
      </c>
      <c r="D71" s="1447">
        <v>1</v>
      </c>
      <c r="E71" s="927">
        <v>12</v>
      </c>
      <c r="F71" s="930" t="s">
        <v>229</v>
      </c>
      <c r="G71" s="977">
        <v>2175000</v>
      </c>
      <c r="H71" s="964">
        <f t="shared" si="7"/>
        <v>26100000</v>
      </c>
      <c r="I71" s="965">
        <f>(G71*60%)*2</f>
        <v>2610000</v>
      </c>
      <c r="J71" s="966">
        <f>40000*12</f>
        <v>480000</v>
      </c>
      <c r="K71" s="967">
        <f t="shared" si="9"/>
        <v>15610</v>
      </c>
      <c r="L71" s="968">
        <f t="shared" si="114"/>
        <v>7492800</v>
      </c>
      <c r="M71" s="968"/>
      <c r="N71" s="968"/>
      <c r="O71" s="969">
        <f t="shared" si="126"/>
        <v>10582800</v>
      </c>
      <c r="P71" s="970">
        <f t="shared" si="127"/>
        <v>3056900</v>
      </c>
      <c r="Q71" s="970">
        <f t="shared" si="16"/>
        <v>1650730</v>
      </c>
      <c r="R71" s="970">
        <f t="shared" si="128"/>
        <v>1223380</v>
      </c>
      <c r="S71" s="970">
        <f t="shared" si="121"/>
        <v>125400</v>
      </c>
      <c r="T71" s="970">
        <f t="shared" ref="T71:T102" si="129">ROUND((H71+I71+J71+L71+M71)*1.05%,-1)</f>
        <v>385170</v>
      </c>
      <c r="U71" s="970">
        <f t="shared" ref="U71:U102" si="130">ROUND((H71+I71+J71+L71+M71)*0.8%,-1)</f>
        <v>293460</v>
      </c>
      <c r="V71" s="968">
        <f t="shared" si="122"/>
        <v>3678140</v>
      </c>
      <c r="W71" s="971">
        <f t="shared" si="123"/>
        <v>6735040</v>
      </c>
      <c r="X71" s="1451">
        <f t="shared" si="38"/>
        <v>43417840</v>
      </c>
      <c r="Y71" s="972">
        <f t="shared" ref="Y71" si="131">250000*12</f>
        <v>3000000</v>
      </c>
      <c r="Z71" s="972">
        <f t="shared" ref="Z71" si="132">50000*12</f>
        <v>600000</v>
      </c>
      <c r="AA71" s="973">
        <f t="shared" ref="AA71" si="133">SUM(Y71:Z72)</f>
        <v>3600000</v>
      </c>
      <c r="AB71" s="1449"/>
    </row>
    <row r="72" spans="1:28" s="13" customFormat="1" ht="20.25" customHeight="1">
      <c r="A72" s="1450"/>
      <c r="B72" s="1450"/>
      <c r="C72" s="1450"/>
      <c r="D72" s="1448"/>
      <c r="E72" s="929"/>
      <c r="F72" s="930"/>
      <c r="G72" s="977"/>
      <c r="H72" s="964">
        <f t="shared" si="7"/>
        <v>0</v>
      </c>
      <c r="I72" s="965">
        <f t="shared" si="8"/>
        <v>0</v>
      </c>
      <c r="J72" s="966"/>
      <c r="K72" s="974">
        <f t="shared" si="9"/>
        <v>0</v>
      </c>
      <c r="L72" s="968">
        <f t="shared" si="114"/>
        <v>0</v>
      </c>
      <c r="M72" s="968"/>
      <c r="N72" s="968"/>
      <c r="O72" s="969">
        <f t="shared" si="126"/>
        <v>0</v>
      </c>
      <c r="P72" s="970">
        <f t="shared" si="127"/>
        <v>0</v>
      </c>
      <c r="Q72" s="970">
        <f t="shared" si="16"/>
        <v>0</v>
      </c>
      <c r="R72" s="970">
        <f t="shared" si="128"/>
        <v>0</v>
      </c>
      <c r="S72" s="970">
        <f t="shared" si="121"/>
        <v>0</v>
      </c>
      <c r="T72" s="970">
        <f t="shared" si="129"/>
        <v>0</v>
      </c>
      <c r="U72" s="970">
        <f t="shared" si="130"/>
        <v>0</v>
      </c>
      <c r="V72" s="968">
        <f t="shared" si="122"/>
        <v>0</v>
      </c>
      <c r="W72" s="971">
        <f t="shared" si="123"/>
        <v>0</v>
      </c>
      <c r="X72" s="1452"/>
      <c r="Y72" s="975"/>
      <c r="Z72" s="975"/>
      <c r="AA72" s="976"/>
      <c r="AB72" s="1450"/>
    </row>
    <row r="73" spans="1:28" s="13" customFormat="1" ht="20.25" customHeight="1">
      <c r="A73" s="1449">
        <v>35</v>
      </c>
      <c r="B73" s="1449" t="s">
        <v>210</v>
      </c>
      <c r="C73" s="1449" t="s">
        <v>236</v>
      </c>
      <c r="D73" s="1447">
        <v>3</v>
      </c>
      <c r="E73" s="927">
        <v>2</v>
      </c>
      <c r="F73" s="930" t="s">
        <v>214</v>
      </c>
      <c r="G73" s="977">
        <v>1987000</v>
      </c>
      <c r="H73" s="964">
        <f t="shared" si="7"/>
        <v>3974000</v>
      </c>
      <c r="I73" s="965">
        <f t="shared" si="8"/>
        <v>1192200</v>
      </c>
      <c r="J73" s="966">
        <f>40000*12</f>
        <v>480000</v>
      </c>
      <c r="K73" s="967">
        <f t="shared" si="9"/>
        <v>14260</v>
      </c>
      <c r="L73" s="968">
        <f t="shared" si="114"/>
        <v>1140800</v>
      </c>
      <c r="M73" s="968"/>
      <c r="N73" s="968"/>
      <c r="O73" s="969">
        <f t="shared" si="126"/>
        <v>2813000</v>
      </c>
      <c r="P73" s="970">
        <f t="shared" si="127"/>
        <v>565590</v>
      </c>
      <c r="Q73" s="970">
        <f t="shared" ref="Q73:Q122" si="134">ROUND((H73+I73+J73+L73+M73)*4.5%,-1)</f>
        <v>305420</v>
      </c>
      <c r="R73" s="970">
        <f t="shared" si="128"/>
        <v>226350</v>
      </c>
      <c r="S73" s="970">
        <f t="shared" si="121"/>
        <v>23210</v>
      </c>
      <c r="T73" s="970">
        <f t="shared" si="129"/>
        <v>71260</v>
      </c>
      <c r="U73" s="970">
        <f t="shared" si="130"/>
        <v>54300</v>
      </c>
      <c r="V73" s="968">
        <f t="shared" si="122"/>
        <v>680540</v>
      </c>
      <c r="W73" s="971">
        <f t="shared" si="123"/>
        <v>1246130</v>
      </c>
      <c r="X73" s="1451">
        <f t="shared" si="38"/>
        <v>40670000</v>
      </c>
      <c r="Y73" s="972">
        <f>200000*12</f>
        <v>2400000</v>
      </c>
      <c r="Z73" s="972">
        <f t="shared" ref="Z73" si="135">50000*12</f>
        <v>600000</v>
      </c>
      <c r="AA73" s="973">
        <f t="shared" ref="AA73" si="136">SUM(Y73:Z74)</f>
        <v>3000000</v>
      </c>
      <c r="AB73" s="1449"/>
    </row>
    <row r="74" spans="1:28" s="13" customFormat="1" ht="20.25" customHeight="1">
      <c r="A74" s="1450"/>
      <c r="B74" s="1450"/>
      <c r="C74" s="1450"/>
      <c r="D74" s="1448"/>
      <c r="E74" s="929">
        <v>10</v>
      </c>
      <c r="F74" s="930" t="s">
        <v>200</v>
      </c>
      <c r="G74" s="977">
        <v>2047000</v>
      </c>
      <c r="H74" s="964">
        <f t="shared" si="7"/>
        <v>20470000</v>
      </c>
      <c r="I74" s="965">
        <f t="shared" si="8"/>
        <v>1228200</v>
      </c>
      <c r="J74" s="966"/>
      <c r="K74" s="974">
        <f t="shared" si="9"/>
        <v>14690</v>
      </c>
      <c r="L74" s="968">
        <f t="shared" si="114"/>
        <v>5876000</v>
      </c>
      <c r="M74" s="968"/>
      <c r="N74" s="968"/>
      <c r="O74" s="969">
        <f t="shared" si="126"/>
        <v>7104200</v>
      </c>
      <c r="P74" s="970">
        <f t="shared" si="127"/>
        <v>2297850</v>
      </c>
      <c r="Q74" s="970">
        <f t="shared" si="134"/>
        <v>1240840</v>
      </c>
      <c r="R74" s="970">
        <f t="shared" si="128"/>
        <v>919600</v>
      </c>
      <c r="S74" s="970">
        <f t="shared" si="121"/>
        <v>94260</v>
      </c>
      <c r="T74" s="970">
        <f t="shared" si="129"/>
        <v>289530</v>
      </c>
      <c r="U74" s="970">
        <f t="shared" si="130"/>
        <v>220590</v>
      </c>
      <c r="V74" s="968">
        <f t="shared" si="122"/>
        <v>2764820</v>
      </c>
      <c r="W74" s="971">
        <f t="shared" si="123"/>
        <v>5062670</v>
      </c>
      <c r="X74" s="1452"/>
      <c r="Y74" s="975"/>
      <c r="Z74" s="975"/>
      <c r="AA74" s="976"/>
      <c r="AB74" s="1450"/>
    </row>
    <row r="75" spans="1:28" s="13" customFormat="1" ht="20.25" customHeight="1">
      <c r="A75" s="1449">
        <v>36</v>
      </c>
      <c r="B75" s="1449" t="s">
        <v>210</v>
      </c>
      <c r="C75" s="1449" t="s">
        <v>237</v>
      </c>
      <c r="D75" s="1447">
        <v>6</v>
      </c>
      <c r="E75" s="927">
        <v>5</v>
      </c>
      <c r="F75" s="930" t="s">
        <v>238</v>
      </c>
      <c r="G75" s="977">
        <v>1873000</v>
      </c>
      <c r="H75" s="964">
        <f t="shared" ref="H75:H122" si="137">G75*E75</f>
        <v>9365000</v>
      </c>
      <c r="I75" s="965">
        <f t="shared" ref="I75:I122" si="138">G75*60%</f>
        <v>1123800</v>
      </c>
      <c r="J75" s="966"/>
      <c r="K75" s="967">
        <f t="shared" ref="K75:K122" si="139">ROUND(G75*1/209*1.5,-1)</f>
        <v>13440</v>
      </c>
      <c r="L75" s="968">
        <f t="shared" si="114"/>
        <v>2688000</v>
      </c>
      <c r="M75" s="968"/>
      <c r="N75" s="968"/>
      <c r="O75" s="969">
        <f t="shared" si="126"/>
        <v>3811800</v>
      </c>
      <c r="P75" s="970">
        <f t="shared" si="127"/>
        <v>1098070</v>
      </c>
      <c r="Q75" s="970">
        <f t="shared" si="134"/>
        <v>592960</v>
      </c>
      <c r="R75" s="970">
        <f t="shared" si="128"/>
        <v>439450</v>
      </c>
      <c r="S75" s="970">
        <f t="shared" si="121"/>
        <v>45050</v>
      </c>
      <c r="T75" s="970">
        <f t="shared" si="129"/>
        <v>138360</v>
      </c>
      <c r="U75" s="970">
        <f t="shared" si="130"/>
        <v>105410</v>
      </c>
      <c r="V75" s="968">
        <f t="shared" si="122"/>
        <v>1321230</v>
      </c>
      <c r="W75" s="971">
        <f t="shared" si="123"/>
        <v>2419300</v>
      </c>
      <c r="X75" s="1451">
        <f t="shared" si="38"/>
        <v>37534880</v>
      </c>
      <c r="Y75" s="972">
        <f>200000*12</f>
        <v>2400000</v>
      </c>
      <c r="Z75" s="972">
        <f t="shared" ref="Z75" si="140">50000*12</f>
        <v>600000</v>
      </c>
      <c r="AA75" s="973">
        <f t="shared" ref="AA75" si="141">SUM(Y75:Z76)</f>
        <v>3000000</v>
      </c>
      <c r="AB75" s="1449"/>
    </row>
    <row r="76" spans="1:28" s="13" customFormat="1" ht="20.25" customHeight="1">
      <c r="A76" s="1450"/>
      <c r="B76" s="1450"/>
      <c r="C76" s="1450"/>
      <c r="D76" s="1448"/>
      <c r="E76" s="929">
        <v>7</v>
      </c>
      <c r="F76" s="930" t="s">
        <v>239</v>
      </c>
      <c r="G76" s="977">
        <v>1929000</v>
      </c>
      <c r="H76" s="964">
        <f t="shared" si="137"/>
        <v>13503000</v>
      </c>
      <c r="I76" s="965">
        <f t="shared" si="138"/>
        <v>1157400</v>
      </c>
      <c r="J76" s="966"/>
      <c r="K76" s="974">
        <f t="shared" si="139"/>
        <v>13840</v>
      </c>
      <c r="L76" s="968">
        <f t="shared" si="114"/>
        <v>3875200</v>
      </c>
      <c r="M76" s="968"/>
      <c r="N76" s="968"/>
      <c r="O76" s="969">
        <f t="shared" si="126"/>
        <v>5032600</v>
      </c>
      <c r="P76" s="970">
        <f t="shared" si="127"/>
        <v>1544640</v>
      </c>
      <c r="Q76" s="970">
        <f t="shared" si="134"/>
        <v>834100</v>
      </c>
      <c r="R76" s="970">
        <f t="shared" si="128"/>
        <v>618170</v>
      </c>
      <c r="S76" s="970">
        <f t="shared" si="121"/>
        <v>63370</v>
      </c>
      <c r="T76" s="970">
        <f t="shared" si="129"/>
        <v>194620</v>
      </c>
      <c r="U76" s="970">
        <f t="shared" si="130"/>
        <v>148280</v>
      </c>
      <c r="V76" s="968">
        <f t="shared" si="122"/>
        <v>1858540</v>
      </c>
      <c r="W76" s="971">
        <f t="shared" si="123"/>
        <v>3403180</v>
      </c>
      <c r="X76" s="1452"/>
      <c r="Y76" s="975"/>
      <c r="Z76" s="975"/>
      <c r="AA76" s="976"/>
      <c r="AB76" s="1450"/>
    </row>
    <row r="77" spans="1:28" s="13" customFormat="1" ht="20.25" customHeight="1">
      <c r="A77" s="1449">
        <v>37</v>
      </c>
      <c r="B77" s="1449" t="s">
        <v>210</v>
      </c>
      <c r="C77" s="1449" t="s">
        <v>240</v>
      </c>
      <c r="D77" s="1447">
        <v>11</v>
      </c>
      <c r="E77" s="927">
        <v>10</v>
      </c>
      <c r="F77" s="930" t="s">
        <v>238</v>
      </c>
      <c r="G77" s="977">
        <v>1873000</v>
      </c>
      <c r="H77" s="964">
        <f t="shared" si="137"/>
        <v>18730000</v>
      </c>
      <c r="I77" s="965">
        <f>(G77*60%)*2</f>
        <v>2247600</v>
      </c>
      <c r="J77" s="966"/>
      <c r="K77" s="967">
        <f t="shared" si="139"/>
        <v>13440</v>
      </c>
      <c r="L77" s="968">
        <f t="shared" si="114"/>
        <v>5376000</v>
      </c>
      <c r="M77" s="968"/>
      <c r="N77" s="968"/>
      <c r="O77" s="969">
        <f t="shared" si="126"/>
        <v>7623600</v>
      </c>
      <c r="P77" s="970">
        <f t="shared" si="127"/>
        <v>2196140</v>
      </c>
      <c r="Q77" s="970">
        <f t="shared" si="134"/>
        <v>1185910</v>
      </c>
      <c r="R77" s="970">
        <f t="shared" si="128"/>
        <v>878900</v>
      </c>
      <c r="S77" s="970">
        <f t="shared" si="121"/>
        <v>90090</v>
      </c>
      <c r="T77" s="970">
        <f t="shared" si="129"/>
        <v>276710</v>
      </c>
      <c r="U77" s="970">
        <f t="shared" si="130"/>
        <v>210830</v>
      </c>
      <c r="V77" s="968">
        <f t="shared" si="122"/>
        <v>2642440</v>
      </c>
      <c r="W77" s="971">
        <f t="shared" si="123"/>
        <v>4838580</v>
      </c>
      <c r="X77" s="1451">
        <f t="shared" si="38"/>
        <v>37069000</v>
      </c>
      <c r="Y77" s="972">
        <f>200000*12</f>
        <v>2400000</v>
      </c>
      <c r="Z77" s="972">
        <f t="shared" ref="Z77" si="142">50000*12</f>
        <v>600000</v>
      </c>
      <c r="AA77" s="973">
        <f t="shared" ref="AA77" si="143">SUM(Y77:Z78)</f>
        <v>3000000</v>
      </c>
      <c r="AB77" s="1449"/>
    </row>
    <row r="78" spans="1:28" s="13" customFormat="1" ht="20.25" customHeight="1">
      <c r="A78" s="1450"/>
      <c r="B78" s="1450"/>
      <c r="C78" s="1450"/>
      <c r="D78" s="1448"/>
      <c r="E78" s="929">
        <v>2</v>
      </c>
      <c r="F78" s="930" t="s">
        <v>239</v>
      </c>
      <c r="G78" s="977">
        <v>1929000</v>
      </c>
      <c r="H78" s="964">
        <f t="shared" si="137"/>
        <v>3858000</v>
      </c>
      <c r="I78" s="965"/>
      <c r="J78" s="966"/>
      <c r="K78" s="974">
        <f t="shared" si="139"/>
        <v>13840</v>
      </c>
      <c r="L78" s="968">
        <f t="shared" si="114"/>
        <v>1107200</v>
      </c>
      <c r="M78" s="968"/>
      <c r="N78" s="968"/>
      <c r="O78" s="969">
        <f t="shared" si="126"/>
        <v>1107200</v>
      </c>
      <c r="P78" s="970">
        <f t="shared" si="127"/>
        <v>413770</v>
      </c>
      <c r="Q78" s="970">
        <f t="shared" si="134"/>
        <v>223430</v>
      </c>
      <c r="R78" s="970">
        <f t="shared" si="128"/>
        <v>165590</v>
      </c>
      <c r="S78" s="970">
        <f t="shared" si="121"/>
        <v>16980</v>
      </c>
      <c r="T78" s="970">
        <f t="shared" si="129"/>
        <v>52130</v>
      </c>
      <c r="U78" s="970">
        <f t="shared" si="130"/>
        <v>39720</v>
      </c>
      <c r="V78" s="968">
        <f t="shared" si="122"/>
        <v>497850</v>
      </c>
      <c r="W78" s="971">
        <f t="shared" si="123"/>
        <v>911620</v>
      </c>
      <c r="X78" s="1452"/>
      <c r="Y78" s="975"/>
      <c r="Z78" s="975"/>
      <c r="AA78" s="976"/>
      <c r="AB78" s="1450"/>
    </row>
    <row r="79" spans="1:28" s="13" customFormat="1" ht="20.25" customHeight="1">
      <c r="A79" s="1449">
        <v>38</v>
      </c>
      <c r="B79" s="1449" t="s">
        <v>210</v>
      </c>
      <c r="C79" s="1449" t="s">
        <v>241</v>
      </c>
      <c r="D79" s="1447">
        <v>3</v>
      </c>
      <c r="E79" s="927">
        <v>2</v>
      </c>
      <c r="F79" s="930" t="s">
        <v>258</v>
      </c>
      <c r="G79" s="977">
        <v>1821000</v>
      </c>
      <c r="H79" s="964">
        <f t="shared" si="137"/>
        <v>3642000</v>
      </c>
      <c r="I79" s="965">
        <f t="shared" si="138"/>
        <v>1092600</v>
      </c>
      <c r="J79" s="966">
        <f>20000*12</f>
        <v>240000</v>
      </c>
      <c r="K79" s="967">
        <f t="shared" si="139"/>
        <v>13070</v>
      </c>
      <c r="L79" s="968">
        <f t="shared" si="114"/>
        <v>1045600</v>
      </c>
      <c r="M79" s="968"/>
      <c r="N79" s="968"/>
      <c r="O79" s="969">
        <f t="shared" si="126"/>
        <v>2378200</v>
      </c>
      <c r="P79" s="970">
        <f t="shared" si="127"/>
        <v>501690</v>
      </c>
      <c r="Q79" s="970">
        <f t="shared" si="134"/>
        <v>270910</v>
      </c>
      <c r="R79" s="970">
        <f t="shared" si="128"/>
        <v>200780</v>
      </c>
      <c r="S79" s="970">
        <f t="shared" si="121"/>
        <v>20580</v>
      </c>
      <c r="T79" s="970">
        <f t="shared" si="129"/>
        <v>63210</v>
      </c>
      <c r="U79" s="970">
        <f t="shared" si="130"/>
        <v>48160</v>
      </c>
      <c r="V79" s="968">
        <f t="shared" si="122"/>
        <v>603640</v>
      </c>
      <c r="W79" s="971">
        <f t="shared" si="123"/>
        <v>1105330</v>
      </c>
      <c r="X79" s="1451">
        <f t="shared" si="38"/>
        <v>36987580</v>
      </c>
      <c r="Y79" s="972">
        <f>200000*12</f>
        <v>2400000</v>
      </c>
      <c r="Z79" s="972">
        <f t="shared" ref="Z79" si="144">50000*12</f>
        <v>600000</v>
      </c>
      <c r="AA79" s="973">
        <f t="shared" ref="AA79" si="145">SUM(Y79:Z80)</f>
        <v>3000000</v>
      </c>
      <c r="AB79" s="1449"/>
    </row>
    <row r="80" spans="1:28" s="13" customFormat="1" ht="20.25" customHeight="1">
      <c r="A80" s="1450"/>
      <c r="B80" s="1450"/>
      <c r="C80" s="1450"/>
      <c r="D80" s="1448"/>
      <c r="E80" s="929">
        <v>10</v>
      </c>
      <c r="F80" s="930" t="s">
        <v>238</v>
      </c>
      <c r="G80" s="977">
        <v>1873000</v>
      </c>
      <c r="H80" s="964">
        <f t="shared" si="137"/>
        <v>18730000</v>
      </c>
      <c r="I80" s="965">
        <f t="shared" si="138"/>
        <v>1123800</v>
      </c>
      <c r="J80" s="966"/>
      <c r="K80" s="974">
        <f t="shared" si="139"/>
        <v>13440</v>
      </c>
      <c r="L80" s="968">
        <f t="shared" si="114"/>
        <v>5376000</v>
      </c>
      <c r="M80" s="968"/>
      <c r="N80" s="968"/>
      <c r="O80" s="969">
        <f t="shared" si="126"/>
        <v>6499800</v>
      </c>
      <c r="P80" s="970">
        <f t="shared" si="127"/>
        <v>2102490</v>
      </c>
      <c r="Q80" s="970">
        <f t="shared" si="134"/>
        <v>1135340</v>
      </c>
      <c r="R80" s="970">
        <f t="shared" si="128"/>
        <v>841420</v>
      </c>
      <c r="S80" s="970">
        <f t="shared" si="121"/>
        <v>86250</v>
      </c>
      <c r="T80" s="970">
        <f t="shared" si="129"/>
        <v>264910</v>
      </c>
      <c r="U80" s="970">
        <f t="shared" si="130"/>
        <v>201840</v>
      </c>
      <c r="V80" s="968">
        <f t="shared" si="122"/>
        <v>2529760</v>
      </c>
      <c r="W80" s="971">
        <f t="shared" si="123"/>
        <v>4632250</v>
      </c>
      <c r="X80" s="1452"/>
      <c r="Y80" s="975"/>
      <c r="Z80" s="975"/>
      <c r="AA80" s="976"/>
      <c r="AB80" s="1450"/>
    </row>
    <row r="81" spans="1:28" s="13" customFormat="1" ht="20.25" customHeight="1">
      <c r="A81" s="1449">
        <v>39</v>
      </c>
      <c r="B81" s="1449" t="s">
        <v>210</v>
      </c>
      <c r="C81" s="1449" t="s">
        <v>242</v>
      </c>
      <c r="D81" s="1447">
        <v>4</v>
      </c>
      <c r="E81" s="927">
        <v>3</v>
      </c>
      <c r="F81" s="930" t="s">
        <v>200</v>
      </c>
      <c r="G81" s="977">
        <v>2047000</v>
      </c>
      <c r="H81" s="964">
        <f t="shared" si="137"/>
        <v>6141000</v>
      </c>
      <c r="I81" s="965">
        <f t="shared" si="138"/>
        <v>1228200</v>
      </c>
      <c r="J81" s="966">
        <f>40000*12</f>
        <v>480000</v>
      </c>
      <c r="K81" s="967">
        <f t="shared" si="139"/>
        <v>14690</v>
      </c>
      <c r="L81" s="968">
        <f t="shared" ref="L81:L82" si="146">(K81*20)*E81</f>
        <v>881400</v>
      </c>
      <c r="M81" s="968">
        <f t="shared" ref="M81:M82" si="147">(K81*5)*E81</f>
        <v>220350</v>
      </c>
      <c r="N81" s="968"/>
      <c r="O81" s="969">
        <f t="shared" si="126"/>
        <v>2809950</v>
      </c>
      <c r="P81" s="970">
        <f t="shared" si="127"/>
        <v>745920</v>
      </c>
      <c r="Q81" s="970">
        <f t="shared" si="134"/>
        <v>402790</v>
      </c>
      <c r="R81" s="970">
        <f t="shared" si="128"/>
        <v>298520</v>
      </c>
      <c r="S81" s="970">
        <f t="shared" si="121"/>
        <v>30600</v>
      </c>
      <c r="T81" s="970">
        <f t="shared" si="129"/>
        <v>93980</v>
      </c>
      <c r="U81" s="970">
        <f t="shared" si="130"/>
        <v>71610</v>
      </c>
      <c r="V81" s="968">
        <f t="shared" si="122"/>
        <v>897500</v>
      </c>
      <c r="W81" s="971">
        <f t="shared" si="123"/>
        <v>1643420</v>
      </c>
      <c r="X81" s="1451">
        <f t="shared" ref="X81:X85" si="148">SUM(H81,H82,W81,W82,O81,O82)</f>
        <v>38590000</v>
      </c>
      <c r="Y81" s="972">
        <f>200000*3</f>
        <v>600000</v>
      </c>
      <c r="Z81" s="972">
        <f t="shared" ref="Z81" si="149">50000*12</f>
        <v>600000</v>
      </c>
      <c r="AA81" s="973">
        <f t="shared" ref="AA81" si="150">SUM(Y81:Z82)</f>
        <v>3000000</v>
      </c>
      <c r="AB81" s="1449"/>
    </row>
    <row r="82" spans="1:28" s="13" customFormat="1" ht="20.25" customHeight="1">
      <c r="A82" s="1450"/>
      <c r="B82" s="1450"/>
      <c r="C82" s="1450"/>
      <c r="D82" s="1448"/>
      <c r="E82" s="929">
        <v>9</v>
      </c>
      <c r="F82" s="930" t="s">
        <v>201</v>
      </c>
      <c r="G82" s="977">
        <v>2109000</v>
      </c>
      <c r="H82" s="964">
        <f t="shared" si="137"/>
        <v>18981000</v>
      </c>
      <c r="I82" s="965">
        <f t="shared" si="138"/>
        <v>1265400</v>
      </c>
      <c r="J82" s="966"/>
      <c r="K82" s="974">
        <f t="shared" si="139"/>
        <v>15140</v>
      </c>
      <c r="L82" s="968">
        <f t="shared" si="146"/>
        <v>2725200</v>
      </c>
      <c r="M82" s="968">
        <f t="shared" si="147"/>
        <v>681300</v>
      </c>
      <c r="N82" s="968"/>
      <c r="O82" s="969">
        <f t="shared" si="126"/>
        <v>4671900</v>
      </c>
      <c r="P82" s="970">
        <f t="shared" si="127"/>
        <v>1971080</v>
      </c>
      <c r="Q82" s="970">
        <f t="shared" si="134"/>
        <v>1064380</v>
      </c>
      <c r="R82" s="970">
        <f t="shared" si="128"/>
        <v>788830</v>
      </c>
      <c r="S82" s="970">
        <f t="shared" si="121"/>
        <v>80860</v>
      </c>
      <c r="T82" s="970">
        <f t="shared" si="129"/>
        <v>248360</v>
      </c>
      <c r="U82" s="970">
        <f t="shared" si="130"/>
        <v>189220</v>
      </c>
      <c r="V82" s="968">
        <f t="shared" si="122"/>
        <v>2371650</v>
      </c>
      <c r="W82" s="971">
        <f t="shared" si="123"/>
        <v>4342730</v>
      </c>
      <c r="X82" s="1452"/>
      <c r="Y82" s="972">
        <f>200000*9</f>
        <v>1800000</v>
      </c>
      <c r="Z82" s="975"/>
      <c r="AA82" s="976"/>
      <c r="AB82" s="1450"/>
    </row>
    <row r="83" spans="1:28" s="13" customFormat="1" ht="20.25" customHeight="1">
      <c r="A83" s="1449">
        <v>40</v>
      </c>
      <c r="B83" s="1449" t="s">
        <v>210</v>
      </c>
      <c r="C83" s="1449" t="s">
        <v>276</v>
      </c>
      <c r="D83" s="1447">
        <v>8</v>
      </c>
      <c r="E83" s="927">
        <v>4</v>
      </c>
      <c r="F83" s="930" t="s">
        <v>258</v>
      </c>
      <c r="G83" s="977">
        <v>1821000</v>
      </c>
      <c r="H83" s="964">
        <f t="shared" ref="H83:H84" si="151">G83*E83</f>
        <v>7284000</v>
      </c>
      <c r="I83" s="965">
        <f t="shared" ref="I83:I84" si="152">G83*60%</f>
        <v>1092600</v>
      </c>
      <c r="J83" s="966"/>
      <c r="K83" s="967">
        <f t="shared" ref="K83:K84" si="153">ROUND(G83*1/209*1.5,-1)</f>
        <v>13070</v>
      </c>
      <c r="L83" s="968">
        <f t="shared" ref="L83:L84" si="154">(K83*40)*E83</f>
        <v>2091200</v>
      </c>
      <c r="M83" s="968"/>
      <c r="N83" s="968"/>
      <c r="O83" s="969">
        <f t="shared" si="126"/>
        <v>3183800</v>
      </c>
      <c r="P83" s="970">
        <f t="shared" si="127"/>
        <v>872320</v>
      </c>
      <c r="Q83" s="970">
        <f t="shared" si="134"/>
        <v>471050</v>
      </c>
      <c r="R83" s="970">
        <f t="shared" si="128"/>
        <v>349110</v>
      </c>
      <c r="S83" s="970">
        <f t="shared" si="121"/>
        <v>35790</v>
      </c>
      <c r="T83" s="970">
        <f t="shared" si="129"/>
        <v>109910</v>
      </c>
      <c r="U83" s="970">
        <f t="shared" si="130"/>
        <v>83740</v>
      </c>
      <c r="V83" s="968">
        <f t="shared" si="122"/>
        <v>1049600</v>
      </c>
      <c r="W83" s="971">
        <f t="shared" si="123"/>
        <v>1921920</v>
      </c>
      <c r="X83" s="1451">
        <f t="shared" si="148"/>
        <v>12389720</v>
      </c>
      <c r="Y83" s="972">
        <f>200000*4</f>
        <v>800000</v>
      </c>
      <c r="Z83" s="972">
        <f>50000*4</f>
        <v>200000</v>
      </c>
      <c r="AA83" s="973">
        <f t="shared" ref="AA83" si="155">SUM(Y83:Z84)</f>
        <v>1000000</v>
      </c>
      <c r="AB83" s="1449"/>
    </row>
    <row r="84" spans="1:28" s="13" customFormat="1" ht="20.25" customHeight="1">
      <c r="A84" s="1450"/>
      <c r="B84" s="1450"/>
      <c r="C84" s="1450"/>
      <c r="D84" s="1448"/>
      <c r="E84" s="929"/>
      <c r="F84" s="930"/>
      <c r="G84" s="977"/>
      <c r="H84" s="964">
        <f t="shared" si="151"/>
        <v>0</v>
      </c>
      <c r="I84" s="965">
        <f t="shared" si="152"/>
        <v>0</v>
      </c>
      <c r="J84" s="966"/>
      <c r="K84" s="974">
        <f t="shared" si="153"/>
        <v>0</v>
      </c>
      <c r="L84" s="968">
        <f t="shared" si="154"/>
        <v>0</v>
      </c>
      <c r="M84" s="968"/>
      <c r="N84" s="968"/>
      <c r="O84" s="969">
        <f t="shared" si="126"/>
        <v>0</v>
      </c>
      <c r="P84" s="970">
        <f t="shared" si="127"/>
        <v>0</v>
      </c>
      <c r="Q84" s="970">
        <f t="shared" si="134"/>
        <v>0</v>
      </c>
      <c r="R84" s="970">
        <f t="shared" si="128"/>
        <v>0</v>
      </c>
      <c r="S84" s="970">
        <f t="shared" si="121"/>
        <v>0</v>
      </c>
      <c r="T84" s="970">
        <f t="shared" si="129"/>
        <v>0</v>
      </c>
      <c r="U84" s="970">
        <f t="shared" si="130"/>
        <v>0</v>
      </c>
      <c r="V84" s="968">
        <f t="shared" si="122"/>
        <v>0</v>
      </c>
      <c r="W84" s="971">
        <f t="shared" si="123"/>
        <v>0</v>
      </c>
      <c r="X84" s="1452"/>
      <c r="Y84" s="975"/>
      <c r="Z84" s="975"/>
      <c r="AA84" s="976"/>
      <c r="AB84" s="1450"/>
    </row>
    <row r="85" spans="1:28" s="13" customFormat="1" ht="20.25" customHeight="1">
      <c r="A85" s="1449">
        <v>41</v>
      </c>
      <c r="B85" s="1449" t="s">
        <v>210</v>
      </c>
      <c r="C85" s="1449" t="s">
        <v>243</v>
      </c>
      <c r="D85" s="1447">
        <v>2</v>
      </c>
      <c r="E85" s="927">
        <v>1</v>
      </c>
      <c r="F85" s="930" t="s">
        <v>238</v>
      </c>
      <c r="G85" s="977">
        <v>1873000</v>
      </c>
      <c r="H85" s="964">
        <f t="shared" si="137"/>
        <v>1873000</v>
      </c>
      <c r="I85" s="965">
        <f t="shared" si="138"/>
        <v>1123800</v>
      </c>
      <c r="J85" s="966">
        <f>20000*12</f>
        <v>240000</v>
      </c>
      <c r="K85" s="967">
        <f t="shared" si="139"/>
        <v>13440</v>
      </c>
      <c r="L85" s="968">
        <f t="shared" ref="L85:L98" si="156">(K85*40)*E85</f>
        <v>537600</v>
      </c>
      <c r="M85" s="968"/>
      <c r="N85" s="968"/>
      <c r="O85" s="969">
        <f t="shared" si="126"/>
        <v>1901400</v>
      </c>
      <c r="P85" s="970">
        <f t="shared" si="127"/>
        <v>314540</v>
      </c>
      <c r="Q85" s="970">
        <f t="shared" si="134"/>
        <v>169850</v>
      </c>
      <c r="R85" s="970">
        <f t="shared" si="128"/>
        <v>125880</v>
      </c>
      <c r="S85" s="970">
        <f t="shared" si="121"/>
        <v>12910</v>
      </c>
      <c r="T85" s="970">
        <f t="shared" si="129"/>
        <v>39630</v>
      </c>
      <c r="U85" s="970">
        <f t="shared" si="130"/>
        <v>30200</v>
      </c>
      <c r="V85" s="968">
        <f t="shared" si="122"/>
        <v>378470</v>
      </c>
      <c r="W85" s="971">
        <f t="shared" si="123"/>
        <v>693010</v>
      </c>
      <c r="X85" s="1451">
        <f t="shared" si="148"/>
        <v>38159830</v>
      </c>
      <c r="Y85" s="972">
        <f>200000*12</f>
        <v>2400000</v>
      </c>
      <c r="Z85" s="972">
        <f t="shared" ref="Z85" si="157">50000*12</f>
        <v>600000</v>
      </c>
      <c r="AA85" s="973">
        <f t="shared" ref="AA85" si="158">SUM(Y85:Z86)</f>
        <v>3000000</v>
      </c>
      <c r="AB85" s="1449"/>
    </row>
    <row r="86" spans="1:28" s="13" customFormat="1" ht="20.25" customHeight="1">
      <c r="A86" s="1450"/>
      <c r="B86" s="1450"/>
      <c r="C86" s="1450"/>
      <c r="D86" s="1448"/>
      <c r="E86" s="929">
        <v>11</v>
      </c>
      <c r="F86" s="930" t="s">
        <v>239</v>
      </c>
      <c r="G86" s="977">
        <v>1929000</v>
      </c>
      <c r="H86" s="964">
        <f t="shared" si="137"/>
        <v>21219000</v>
      </c>
      <c r="I86" s="965">
        <f t="shared" si="138"/>
        <v>1157400</v>
      </c>
      <c r="J86" s="966"/>
      <c r="K86" s="974">
        <f t="shared" si="139"/>
        <v>13840</v>
      </c>
      <c r="L86" s="968">
        <f t="shared" si="156"/>
        <v>6089600</v>
      </c>
      <c r="M86" s="968"/>
      <c r="N86" s="968"/>
      <c r="O86" s="969">
        <f t="shared" si="126"/>
        <v>7247000</v>
      </c>
      <c r="P86" s="970">
        <f t="shared" si="127"/>
        <v>2372170</v>
      </c>
      <c r="Q86" s="970">
        <f t="shared" si="134"/>
        <v>1280970</v>
      </c>
      <c r="R86" s="970">
        <f t="shared" si="128"/>
        <v>949350</v>
      </c>
      <c r="S86" s="970">
        <f t="shared" si="121"/>
        <v>97310</v>
      </c>
      <c r="T86" s="970">
        <f t="shared" si="129"/>
        <v>298890</v>
      </c>
      <c r="U86" s="970">
        <f t="shared" si="130"/>
        <v>227730</v>
      </c>
      <c r="V86" s="968">
        <f t="shared" si="122"/>
        <v>2854250</v>
      </c>
      <c r="W86" s="971">
        <f t="shared" si="123"/>
        <v>5226420</v>
      </c>
      <c r="X86" s="1452"/>
      <c r="Y86" s="975"/>
      <c r="Z86" s="975"/>
      <c r="AA86" s="976"/>
      <c r="AB86" s="1450"/>
    </row>
    <row r="87" spans="1:28" s="13" customFormat="1" ht="20.25" customHeight="1">
      <c r="A87" s="1449">
        <v>42</v>
      </c>
      <c r="B87" s="1449" t="s">
        <v>210</v>
      </c>
      <c r="C87" s="1449" t="s">
        <v>244</v>
      </c>
      <c r="D87" s="1447">
        <v>2</v>
      </c>
      <c r="E87" s="927">
        <v>1</v>
      </c>
      <c r="F87" s="930"/>
      <c r="G87" s="977"/>
      <c r="H87" s="964">
        <f t="shared" si="137"/>
        <v>0</v>
      </c>
      <c r="I87" s="965">
        <f t="shared" si="138"/>
        <v>0</v>
      </c>
      <c r="J87" s="966"/>
      <c r="K87" s="967">
        <f t="shared" si="139"/>
        <v>0</v>
      </c>
      <c r="L87" s="968">
        <f t="shared" si="156"/>
        <v>0</v>
      </c>
      <c r="M87" s="968"/>
      <c r="N87" s="968"/>
      <c r="O87" s="969">
        <f t="shared" si="126"/>
        <v>0</v>
      </c>
      <c r="P87" s="970">
        <f t="shared" si="127"/>
        <v>0</v>
      </c>
      <c r="Q87" s="970">
        <f t="shared" si="134"/>
        <v>0</v>
      </c>
      <c r="R87" s="970">
        <f t="shared" si="128"/>
        <v>0</v>
      </c>
      <c r="S87" s="970">
        <f t="shared" si="121"/>
        <v>0</v>
      </c>
      <c r="T87" s="970">
        <f t="shared" si="129"/>
        <v>0</v>
      </c>
      <c r="U87" s="970">
        <f t="shared" si="130"/>
        <v>0</v>
      </c>
      <c r="V87" s="968">
        <f t="shared" si="122"/>
        <v>0</v>
      </c>
      <c r="W87" s="971">
        <f t="shared" si="123"/>
        <v>0</v>
      </c>
      <c r="X87" s="1451">
        <f t="shared" ref="X87:X93" si="159">SUM(H87,H88,W87,W88,O87,O88)</f>
        <v>34707480</v>
      </c>
      <c r="Y87" s="972">
        <f>200000*11</f>
        <v>2200000</v>
      </c>
      <c r="Z87" s="972">
        <f>50000*11</f>
        <v>550000</v>
      </c>
      <c r="AA87" s="973">
        <f t="shared" ref="AA87" si="160">SUM(Y87:Z88)</f>
        <v>2750000</v>
      </c>
      <c r="AB87" s="1449" t="s">
        <v>259</v>
      </c>
    </row>
    <row r="88" spans="1:28" s="13" customFormat="1" ht="20.25" customHeight="1">
      <c r="A88" s="1450"/>
      <c r="B88" s="1450"/>
      <c r="C88" s="1450"/>
      <c r="D88" s="1448"/>
      <c r="E88" s="929">
        <v>11</v>
      </c>
      <c r="F88" s="930" t="s">
        <v>214</v>
      </c>
      <c r="G88" s="977">
        <v>1987000</v>
      </c>
      <c r="H88" s="964">
        <f t="shared" si="137"/>
        <v>21857000</v>
      </c>
      <c r="I88" s="965">
        <f>(G88*60%)*1</f>
        <v>1192200</v>
      </c>
      <c r="J88" s="966"/>
      <c r="K88" s="974">
        <f t="shared" si="139"/>
        <v>14260</v>
      </c>
      <c r="L88" s="968">
        <f t="shared" si="156"/>
        <v>6274400</v>
      </c>
      <c r="M88" s="968"/>
      <c r="N88" s="968"/>
      <c r="O88" s="969">
        <f t="shared" si="126"/>
        <v>7466600</v>
      </c>
      <c r="P88" s="970">
        <f t="shared" si="127"/>
        <v>2443640</v>
      </c>
      <c r="Q88" s="970">
        <f t="shared" si="134"/>
        <v>1319560</v>
      </c>
      <c r="R88" s="970">
        <f t="shared" si="128"/>
        <v>977950</v>
      </c>
      <c r="S88" s="970">
        <f t="shared" si="121"/>
        <v>100240</v>
      </c>
      <c r="T88" s="970">
        <f t="shared" si="129"/>
        <v>307900</v>
      </c>
      <c r="U88" s="970">
        <f t="shared" si="130"/>
        <v>234590</v>
      </c>
      <c r="V88" s="968">
        <f t="shared" si="122"/>
        <v>2940240</v>
      </c>
      <c r="W88" s="971">
        <f t="shared" si="123"/>
        <v>5383880</v>
      </c>
      <c r="X88" s="1452"/>
      <c r="Y88" s="975"/>
      <c r="Z88" s="975"/>
      <c r="AA88" s="976"/>
      <c r="AB88" s="1450"/>
    </row>
    <row r="89" spans="1:28" s="13" customFormat="1" ht="20.25" customHeight="1">
      <c r="A89" s="1449">
        <v>43</v>
      </c>
      <c r="B89" s="1449" t="s">
        <v>210</v>
      </c>
      <c r="C89" s="1449" t="s">
        <v>245</v>
      </c>
      <c r="D89" s="1447">
        <v>4</v>
      </c>
      <c r="E89" s="927"/>
      <c r="F89" s="930"/>
      <c r="G89" s="977"/>
      <c r="H89" s="964">
        <f t="shared" si="137"/>
        <v>0</v>
      </c>
      <c r="I89" s="965">
        <f t="shared" si="138"/>
        <v>0</v>
      </c>
      <c r="J89" s="966"/>
      <c r="K89" s="967">
        <f t="shared" si="139"/>
        <v>0</v>
      </c>
      <c r="L89" s="968">
        <f t="shared" si="156"/>
        <v>0</v>
      </c>
      <c r="M89" s="968"/>
      <c r="N89" s="968"/>
      <c r="O89" s="969">
        <f t="shared" si="126"/>
        <v>0</v>
      </c>
      <c r="P89" s="970">
        <f t="shared" si="127"/>
        <v>0</v>
      </c>
      <c r="Q89" s="970">
        <f t="shared" si="134"/>
        <v>0</v>
      </c>
      <c r="R89" s="970">
        <f t="shared" si="128"/>
        <v>0</v>
      </c>
      <c r="S89" s="970">
        <f t="shared" si="121"/>
        <v>0</v>
      </c>
      <c r="T89" s="970">
        <f t="shared" si="129"/>
        <v>0</v>
      </c>
      <c r="U89" s="970">
        <f t="shared" si="130"/>
        <v>0</v>
      </c>
      <c r="V89" s="968">
        <f t="shared" si="122"/>
        <v>0</v>
      </c>
      <c r="W89" s="971">
        <f t="shared" si="123"/>
        <v>0</v>
      </c>
      <c r="X89" s="1451">
        <f t="shared" si="159"/>
        <v>31364990</v>
      </c>
      <c r="Y89" s="972">
        <f>250000*9</f>
        <v>2250000</v>
      </c>
      <c r="Z89" s="972">
        <f>50000*9</f>
        <v>450000</v>
      </c>
      <c r="AA89" s="973">
        <f t="shared" ref="AA89" si="161">SUM(Y89:Z90)</f>
        <v>2700000</v>
      </c>
      <c r="AB89" s="1449" t="s">
        <v>264</v>
      </c>
    </row>
    <row r="90" spans="1:28" s="13" customFormat="1" ht="20.25" customHeight="1">
      <c r="A90" s="1450"/>
      <c r="B90" s="1450"/>
      <c r="C90" s="1450"/>
      <c r="D90" s="1448"/>
      <c r="E90" s="929">
        <v>9</v>
      </c>
      <c r="F90" s="930" t="s">
        <v>229</v>
      </c>
      <c r="G90" s="977">
        <v>2175000</v>
      </c>
      <c r="H90" s="964">
        <f t="shared" si="137"/>
        <v>19575000</v>
      </c>
      <c r="I90" s="965">
        <f t="shared" si="138"/>
        <v>1305000</v>
      </c>
      <c r="J90" s="966"/>
      <c r="K90" s="974">
        <f t="shared" si="139"/>
        <v>15610</v>
      </c>
      <c r="L90" s="968">
        <f t="shared" si="156"/>
        <v>5619600</v>
      </c>
      <c r="M90" s="968"/>
      <c r="N90" s="968"/>
      <c r="O90" s="969">
        <f t="shared" si="126"/>
        <v>6924600</v>
      </c>
      <c r="P90" s="970">
        <f t="shared" si="127"/>
        <v>2208300</v>
      </c>
      <c r="Q90" s="970">
        <f t="shared" si="134"/>
        <v>1192480</v>
      </c>
      <c r="R90" s="970">
        <f t="shared" si="128"/>
        <v>883770</v>
      </c>
      <c r="S90" s="970">
        <f t="shared" si="121"/>
        <v>90590</v>
      </c>
      <c r="T90" s="970">
        <f t="shared" si="129"/>
        <v>278250</v>
      </c>
      <c r="U90" s="970">
        <f t="shared" si="130"/>
        <v>212000</v>
      </c>
      <c r="V90" s="968">
        <f t="shared" si="122"/>
        <v>2657090</v>
      </c>
      <c r="W90" s="971">
        <f t="shared" si="123"/>
        <v>4865390</v>
      </c>
      <c r="X90" s="1452"/>
      <c r="Y90" s="975"/>
      <c r="Z90" s="975"/>
      <c r="AA90" s="976"/>
      <c r="AB90" s="1450"/>
    </row>
    <row r="91" spans="1:28" s="13" customFormat="1" ht="20.25" customHeight="1">
      <c r="A91" s="1449">
        <v>44</v>
      </c>
      <c r="B91" s="1449" t="s">
        <v>210</v>
      </c>
      <c r="C91" s="1449" t="s">
        <v>246</v>
      </c>
      <c r="D91" s="1447">
        <v>6</v>
      </c>
      <c r="E91" s="927">
        <v>2</v>
      </c>
      <c r="F91" s="930" t="s">
        <v>201</v>
      </c>
      <c r="G91" s="977">
        <v>2109000</v>
      </c>
      <c r="H91" s="964">
        <f t="shared" si="137"/>
        <v>4218000</v>
      </c>
      <c r="I91" s="965"/>
      <c r="J91" s="966">
        <f>20000*9</f>
        <v>180000</v>
      </c>
      <c r="K91" s="967">
        <f t="shared" si="139"/>
        <v>15140</v>
      </c>
      <c r="L91" s="968">
        <f t="shared" si="156"/>
        <v>1211200</v>
      </c>
      <c r="M91" s="968"/>
      <c r="N91" s="968"/>
      <c r="O91" s="969">
        <f t="shared" si="126"/>
        <v>1391200</v>
      </c>
      <c r="P91" s="970">
        <f t="shared" si="127"/>
        <v>467440</v>
      </c>
      <c r="Q91" s="970">
        <f t="shared" si="134"/>
        <v>252410</v>
      </c>
      <c r="R91" s="970">
        <f t="shared" si="128"/>
        <v>187070</v>
      </c>
      <c r="S91" s="970">
        <f t="shared" si="121"/>
        <v>19180</v>
      </c>
      <c r="T91" s="970">
        <f t="shared" si="129"/>
        <v>58900</v>
      </c>
      <c r="U91" s="970">
        <f t="shared" si="130"/>
        <v>44870</v>
      </c>
      <c r="V91" s="968">
        <f t="shared" si="122"/>
        <v>562430</v>
      </c>
      <c r="W91" s="971">
        <f t="shared" si="123"/>
        <v>1029870</v>
      </c>
      <c r="X91" s="1451">
        <f t="shared" si="159"/>
        <v>31377320</v>
      </c>
      <c r="Y91" s="972">
        <f>250000*9</f>
        <v>2250000</v>
      </c>
      <c r="Z91" s="972">
        <f>50000*9</f>
        <v>450000</v>
      </c>
      <c r="AA91" s="973">
        <f t="shared" ref="AA91" si="162">SUM(Y91:Z92)</f>
        <v>2700000</v>
      </c>
      <c r="AB91" s="1449" t="s">
        <v>264</v>
      </c>
    </row>
    <row r="92" spans="1:28" s="13" customFormat="1" ht="20.25" customHeight="1">
      <c r="A92" s="1450"/>
      <c r="B92" s="1450"/>
      <c r="C92" s="1450"/>
      <c r="D92" s="1448"/>
      <c r="E92" s="929">
        <v>7</v>
      </c>
      <c r="F92" s="930" t="s">
        <v>229</v>
      </c>
      <c r="G92" s="977">
        <v>2175000</v>
      </c>
      <c r="H92" s="964">
        <f t="shared" si="137"/>
        <v>15225000</v>
      </c>
      <c r="I92" s="965">
        <f t="shared" si="138"/>
        <v>1305000</v>
      </c>
      <c r="J92" s="966"/>
      <c r="K92" s="974">
        <f t="shared" si="139"/>
        <v>15610</v>
      </c>
      <c r="L92" s="968">
        <f t="shared" si="156"/>
        <v>4370800</v>
      </c>
      <c r="M92" s="968"/>
      <c r="N92" s="968"/>
      <c r="O92" s="969">
        <f t="shared" si="126"/>
        <v>5675800</v>
      </c>
      <c r="P92" s="970">
        <f t="shared" si="127"/>
        <v>1741740</v>
      </c>
      <c r="Q92" s="970">
        <f t="shared" si="134"/>
        <v>940540</v>
      </c>
      <c r="R92" s="970">
        <f t="shared" si="128"/>
        <v>697050</v>
      </c>
      <c r="S92" s="970">
        <f t="shared" si="121"/>
        <v>71450</v>
      </c>
      <c r="T92" s="970">
        <f t="shared" si="129"/>
        <v>219460</v>
      </c>
      <c r="U92" s="970">
        <f t="shared" si="130"/>
        <v>167210</v>
      </c>
      <c r="V92" s="968">
        <f t="shared" si="122"/>
        <v>2095710</v>
      </c>
      <c r="W92" s="971">
        <f t="shared" si="123"/>
        <v>3837450</v>
      </c>
      <c r="X92" s="1452"/>
      <c r="Y92" s="975"/>
      <c r="Z92" s="975"/>
      <c r="AA92" s="976"/>
      <c r="AB92" s="1450"/>
    </row>
    <row r="93" spans="1:28" s="13" customFormat="1" ht="20.25" customHeight="1">
      <c r="A93" s="1449">
        <v>45</v>
      </c>
      <c r="B93" s="1449" t="s">
        <v>210</v>
      </c>
      <c r="C93" s="1449" t="s">
        <v>247</v>
      </c>
      <c r="D93" s="1447">
        <v>8</v>
      </c>
      <c r="E93" s="927">
        <v>4</v>
      </c>
      <c r="F93" s="930" t="s">
        <v>214</v>
      </c>
      <c r="G93" s="977">
        <v>1987000</v>
      </c>
      <c r="H93" s="964">
        <f t="shared" si="137"/>
        <v>7948000</v>
      </c>
      <c r="I93" s="965"/>
      <c r="J93" s="966">
        <f>20000*9</f>
        <v>180000</v>
      </c>
      <c r="K93" s="967">
        <f t="shared" si="139"/>
        <v>14260</v>
      </c>
      <c r="L93" s="968">
        <f t="shared" si="156"/>
        <v>2281600</v>
      </c>
      <c r="M93" s="968"/>
      <c r="N93" s="968"/>
      <c r="O93" s="969">
        <f t="shared" si="126"/>
        <v>2461600</v>
      </c>
      <c r="P93" s="970">
        <f t="shared" si="127"/>
        <v>867470</v>
      </c>
      <c r="Q93" s="970">
        <f t="shared" si="134"/>
        <v>468430</v>
      </c>
      <c r="R93" s="970">
        <f t="shared" si="128"/>
        <v>347170</v>
      </c>
      <c r="S93" s="970">
        <f t="shared" si="121"/>
        <v>35590</v>
      </c>
      <c r="T93" s="970">
        <f t="shared" si="129"/>
        <v>109300</v>
      </c>
      <c r="U93" s="970">
        <f t="shared" si="130"/>
        <v>83280</v>
      </c>
      <c r="V93" s="968">
        <f t="shared" si="122"/>
        <v>1043770</v>
      </c>
      <c r="W93" s="971">
        <f t="shared" si="123"/>
        <v>1911240</v>
      </c>
      <c r="X93" s="1451">
        <f t="shared" si="159"/>
        <v>29366130</v>
      </c>
      <c r="Y93" s="972">
        <f>200000*9</f>
        <v>1800000</v>
      </c>
      <c r="Z93" s="972">
        <f>50000*9</f>
        <v>450000</v>
      </c>
      <c r="AA93" s="973">
        <f t="shared" ref="AA93" si="163">SUM(Y93:Z94)</f>
        <v>2250000</v>
      </c>
      <c r="AB93" s="1449" t="s">
        <v>264</v>
      </c>
    </row>
    <row r="94" spans="1:28" s="13" customFormat="1" ht="20.25" customHeight="1">
      <c r="A94" s="1450"/>
      <c r="B94" s="1450"/>
      <c r="C94" s="1450"/>
      <c r="D94" s="1448"/>
      <c r="E94" s="929">
        <v>5</v>
      </c>
      <c r="F94" s="930" t="s">
        <v>200</v>
      </c>
      <c r="G94" s="977">
        <v>2047000</v>
      </c>
      <c r="H94" s="964">
        <f t="shared" si="137"/>
        <v>10235000</v>
      </c>
      <c r="I94" s="965">
        <f t="shared" si="138"/>
        <v>1228200</v>
      </c>
      <c r="J94" s="966"/>
      <c r="K94" s="974">
        <f t="shared" si="139"/>
        <v>14690</v>
      </c>
      <c r="L94" s="968">
        <f t="shared" si="156"/>
        <v>2938000</v>
      </c>
      <c r="M94" s="968"/>
      <c r="N94" s="968"/>
      <c r="O94" s="969">
        <f t="shared" si="126"/>
        <v>4166200</v>
      </c>
      <c r="P94" s="970">
        <f t="shared" si="127"/>
        <v>1200100</v>
      </c>
      <c r="Q94" s="970">
        <f t="shared" si="134"/>
        <v>648050</v>
      </c>
      <c r="R94" s="970">
        <f t="shared" si="128"/>
        <v>480290</v>
      </c>
      <c r="S94" s="970">
        <f t="shared" si="121"/>
        <v>49230</v>
      </c>
      <c r="T94" s="970">
        <f t="shared" si="129"/>
        <v>151210</v>
      </c>
      <c r="U94" s="970">
        <f t="shared" si="130"/>
        <v>115210</v>
      </c>
      <c r="V94" s="968">
        <f t="shared" si="122"/>
        <v>1443990</v>
      </c>
      <c r="W94" s="971">
        <f t="shared" si="123"/>
        <v>2644090</v>
      </c>
      <c r="X94" s="1452"/>
      <c r="Y94" s="975"/>
      <c r="Z94" s="975"/>
      <c r="AA94" s="976"/>
      <c r="AB94" s="1450"/>
    </row>
    <row r="95" spans="1:28" s="13" customFormat="1" ht="20.25" customHeight="1">
      <c r="A95" s="1449">
        <v>46</v>
      </c>
      <c r="B95" s="1449" t="s">
        <v>210</v>
      </c>
      <c r="C95" s="1449" t="s">
        <v>248</v>
      </c>
      <c r="D95" s="1447">
        <v>5</v>
      </c>
      <c r="E95" s="927">
        <v>4</v>
      </c>
      <c r="F95" s="930"/>
      <c r="G95" s="977"/>
      <c r="H95" s="964">
        <f t="shared" si="137"/>
        <v>0</v>
      </c>
      <c r="I95" s="965">
        <f t="shared" si="138"/>
        <v>0</v>
      </c>
      <c r="J95" s="966"/>
      <c r="K95" s="967">
        <f t="shared" si="139"/>
        <v>0</v>
      </c>
      <c r="L95" s="968">
        <f t="shared" si="156"/>
        <v>0</v>
      </c>
      <c r="M95" s="968"/>
      <c r="N95" s="968"/>
      <c r="O95" s="969">
        <f t="shared" si="126"/>
        <v>0</v>
      </c>
      <c r="P95" s="970">
        <f t="shared" si="127"/>
        <v>0</v>
      </c>
      <c r="Q95" s="970">
        <f t="shared" si="134"/>
        <v>0</v>
      </c>
      <c r="R95" s="970">
        <f t="shared" si="128"/>
        <v>0</v>
      </c>
      <c r="S95" s="970">
        <f t="shared" si="121"/>
        <v>0</v>
      </c>
      <c r="T95" s="970">
        <f t="shared" si="129"/>
        <v>0</v>
      </c>
      <c r="U95" s="970">
        <f t="shared" si="130"/>
        <v>0</v>
      </c>
      <c r="V95" s="968">
        <f t="shared" si="122"/>
        <v>0</v>
      </c>
      <c r="W95" s="971">
        <f t="shared" si="123"/>
        <v>0</v>
      </c>
      <c r="X95" s="1451">
        <f t="shared" ref="X95:X105" si="164">SUM(H95,H96,W95,W96,O95,O96)</f>
        <v>26400250</v>
      </c>
      <c r="Y95" s="972">
        <f>200000*8</f>
        <v>1600000</v>
      </c>
      <c r="Z95" s="972">
        <f>50000*8</f>
        <v>400000</v>
      </c>
      <c r="AA95" s="973">
        <f t="shared" ref="AA95" si="165">SUM(Y95:Z96)</f>
        <v>2000000</v>
      </c>
      <c r="AB95" s="1449" t="s">
        <v>265</v>
      </c>
    </row>
    <row r="96" spans="1:28" s="13" customFormat="1" ht="20.25" customHeight="1">
      <c r="A96" s="1450"/>
      <c r="B96" s="1450"/>
      <c r="C96" s="1450"/>
      <c r="D96" s="1448"/>
      <c r="E96" s="929">
        <v>8</v>
      </c>
      <c r="F96" s="930" t="s">
        <v>200</v>
      </c>
      <c r="G96" s="977">
        <v>2047000</v>
      </c>
      <c r="H96" s="964">
        <f t="shared" si="137"/>
        <v>16376000</v>
      </c>
      <c r="I96" s="965">
        <f t="shared" si="138"/>
        <v>1228200</v>
      </c>
      <c r="J96" s="966"/>
      <c r="K96" s="974">
        <f t="shared" si="139"/>
        <v>14690</v>
      </c>
      <c r="L96" s="968">
        <f t="shared" si="156"/>
        <v>4700800</v>
      </c>
      <c r="M96" s="968"/>
      <c r="N96" s="968"/>
      <c r="O96" s="969">
        <f t="shared" si="126"/>
        <v>5929000</v>
      </c>
      <c r="P96" s="970">
        <f t="shared" si="127"/>
        <v>1858750</v>
      </c>
      <c r="Q96" s="970">
        <f t="shared" si="134"/>
        <v>1003730</v>
      </c>
      <c r="R96" s="970">
        <f t="shared" si="128"/>
        <v>743880</v>
      </c>
      <c r="S96" s="970">
        <f t="shared" si="121"/>
        <v>76250</v>
      </c>
      <c r="T96" s="970">
        <f t="shared" si="129"/>
        <v>234200</v>
      </c>
      <c r="U96" s="970">
        <f t="shared" si="130"/>
        <v>178440</v>
      </c>
      <c r="V96" s="968">
        <f t="shared" si="122"/>
        <v>2236500</v>
      </c>
      <c r="W96" s="971">
        <f t="shared" si="123"/>
        <v>4095250</v>
      </c>
      <c r="X96" s="1452"/>
      <c r="Y96" s="975"/>
      <c r="Z96" s="975"/>
      <c r="AA96" s="976"/>
      <c r="AB96" s="1450"/>
    </row>
    <row r="97" spans="1:28" s="13" customFormat="1" ht="20.25" customHeight="1">
      <c r="A97" s="1449">
        <v>47</v>
      </c>
      <c r="B97" s="1449" t="s">
        <v>210</v>
      </c>
      <c r="C97" s="1449" t="s">
        <v>249</v>
      </c>
      <c r="D97" s="1447">
        <v>8</v>
      </c>
      <c r="E97" s="927">
        <v>5</v>
      </c>
      <c r="F97" s="930" t="s">
        <v>229</v>
      </c>
      <c r="G97" s="977">
        <v>2175000</v>
      </c>
      <c r="H97" s="964">
        <f>G97*E97</f>
        <v>10875000</v>
      </c>
      <c r="I97" s="965"/>
      <c r="J97" s="966"/>
      <c r="K97" s="967">
        <f t="shared" si="139"/>
        <v>15610</v>
      </c>
      <c r="L97" s="968">
        <f t="shared" si="156"/>
        <v>3122000</v>
      </c>
      <c r="M97" s="968"/>
      <c r="N97" s="968"/>
      <c r="O97" s="969">
        <f t="shared" si="126"/>
        <v>3122000</v>
      </c>
      <c r="P97" s="970">
        <f t="shared" si="127"/>
        <v>1166420</v>
      </c>
      <c r="Q97" s="970">
        <f t="shared" si="134"/>
        <v>629870</v>
      </c>
      <c r="R97" s="970">
        <f t="shared" si="128"/>
        <v>466800</v>
      </c>
      <c r="S97" s="970">
        <f t="shared" si="121"/>
        <v>47850</v>
      </c>
      <c r="T97" s="970">
        <f t="shared" si="129"/>
        <v>146970</v>
      </c>
      <c r="U97" s="970">
        <f t="shared" si="130"/>
        <v>111980</v>
      </c>
      <c r="V97" s="968">
        <f t="shared" si="122"/>
        <v>1403470</v>
      </c>
      <c r="W97" s="971">
        <f t="shared" si="123"/>
        <v>2569890</v>
      </c>
      <c r="X97" s="1451">
        <f t="shared" si="164"/>
        <v>28399600</v>
      </c>
      <c r="Y97" s="972">
        <f>250000*8</f>
        <v>2000000</v>
      </c>
      <c r="Z97" s="972">
        <f>50000*8</f>
        <v>400000</v>
      </c>
      <c r="AA97" s="973">
        <f t="shared" ref="AA97" si="166">SUM(Y97:Z98)</f>
        <v>2400000</v>
      </c>
      <c r="AB97" s="1449" t="s">
        <v>265</v>
      </c>
    </row>
    <row r="98" spans="1:28" s="13" customFormat="1" ht="20.25" customHeight="1">
      <c r="A98" s="1450"/>
      <c r="B98" s="1450"/>
      <c r="C98" s="1450"/>
      <c r="D98" s="1448"/>
      <c r="E98" s="929">
        <v>3</v>
      </c>
      <c r="F98" s="930" t="s">
        <v>215</v>
      </c>
      <c r="G98" s="977">
        <v>2241000</v>
      </c>
      <c r="H98" s="964">
        <f t="shared" si="137"/>
        <v>6723000</v>
      </c>
      <c r="I98" s="965">
        <f t="shared" si="138"/>
        <v>1344600</v>
      </c>
      <c r="J98" s="966"/>
      <c r="K98" s="974">
        <f t="shared" si="139"/>
        <v>16080</v>
      </c>
      <c r="L98" s="968">
        <f t="shared" si="156"/>
        <v>1929600</v>
      </c>
      <c r="M98" s="968"/>
      <c r="N98" s="968"/>
      <c r="O98" s="969">
        <f t="shared" si="126"/>
        <v>3274200</v>
      </c>
      <c r="P98" s="970">
        <f t="shared" si="127"/>
        <v>833100</v>
      </c>
      <c r="Q98" s="970">
        <f t="shared" si="134"/>
        <v>449870</v>
      </c>
      <c r="R98" s="970">
        <f t="shared" si="128"/>
        <v>333410</v>
      </c>
      <c r="S98" s="970">
        <f t="shared" si="121"/>
        <v>34180</v>
      </c>
      <c r="T98" s="970">
        <f t="shared" si="129"/>
        <v>104970</v>
      </c>
      <c r="U98" s="970">
        <f t="shared" si="130"/>
        <v>79980</v>
      </c>
      <c r="V98" s="968">
        <f t="shared" si="122"/>
        <v>1002410</v>
      </c>
      <c r="W98" s="971">
        <f t="shared" si="123"/>
        <v>1835510</v>
      </c>
      <c r="X98" s="1452"/>
      <c r="Y98" s="975"/>
      <c r="Z98" s="975"/>
      <c r="AA98" s="976"/>
      <c r="AB98" s="1450"/>
    </row>
    <row r="99" spans="1:28" s="13" customFormat="1" ht="20.25" customHeight="1">
      <c r="A99" s="1449">
        <v>48</v>
      </c>
      <c r="B99" s="1449" t="s">
        <v>210</v>
      </c>
      <c r="C99" s="1449" t="s">
        <v>277</v>
      </c>
      <c r="D99" s="1447">
        <v>6</v>
      </c>
      <c r="E99" s="927">
        <v>6</v>
      </c>
      <c r="F99" s="930" t="s">
        <v>239</v>
      </c>
      <c r="G99" s="977">
        <v>1929000</v>
      </c>
      <c r="H99" s="964">
        <f>G99*E99</f>
        <v>11574000</v>
      </c>
      <c r="I99" s="965">
        <f t="shared" si="138"/>
        <v>1157400</v>
      </c>
      <c r="J99" s="966">
        <f>260000*6</f>
        <v>1560000</v>
      </c>
      <c r="K99" s="967">
        <f t="shared" ref="K99:K102" si="167">ROUND(G99*1/209*1.5,-1)</f>
        <v>13840</v>
      </c>
      <c r="L99" s="968">
        <f>(K99*40)*E99</f>
        <v>3321600</v>
      </c>
      <c r="M99" s="968"/>
      <c r="N99" s="968"/>
      <c r="O99" s="969">
        <f t="shared" si="126"/>
        <v>6039000</v>
      </c>
      <c r="P99" s="970">
        <f t="shared" si="127"/>
        <v>1467750</v>
      </c>
      <c r="Q99" s="970">
        <f t="shared" si="134"/>
        <v>792590</v>
      </c>
      <c r="R99" s="970">
        <f t="shared" si="128"/>
        <v>587400</v>
      </c>
      <c r="S99" s="970">
        <f t="shared" si="121"/>
        <v>60210</v>
      </c>
      <c r="T99" s="970">
        <f t="shared" si="129"/>
        <v>184940</v>
      </c>
      <c r="U99" s="970">
        <f t="shared" si="130"/>
        <v>140900</v>
      </c>
      <c r="V99" s="968">
        <f t="shared" si="122"/>
        <v>1766040</v>
      </c>
      <c r="W99" s="971">
        <f t="shared" si="123"/>
        <v>3233790</v>
      </c>
      <c r="X99" s="1451">
        <f t="shared" si="164"/>
        <v>20846790</v>
      </c>
      <c r="Y99" s="972">
        <f>200000*6</f>
        <v>1200000</v>
      </c>
      <c r="Z99" s="972">
        <f>50000*6</f>
        <v>300000</v>
      </c>
      <c r="AA99" s="973">
        <f t="shared" ref="AA99" si="168">SUM(Y99:Z100)</f>
        <v>1500000</v>
      </c>
      <c r="AB99" s="1449" t="s">
        <v>267</v>
      </c>
    </row>
    <row r="100" spans="1:28" s="13" customFormat="1" ht="20.25" customHeight="1">
      <c r="A100" s="1450"/>
      <c r="B100" s="1450"/>
      <c r="C100" s="1450"/>
      <c r="D100" s="1448"/>
      <c r="E100" s="929"/>
      <c r="F100" s="930"/>
      <c r="G100" s="977"/>
      <c r="H100" s="964">
        <f t="shared" ref="H100" si="169">G100*E100</f>
        <v>0</v>
      </c>
      <c r="I100" s="965">
        <f t="shared" ref="I100" si="170">G100*60%</f>
        <v>0</v>
      </c>
      <c r="J100" s="966"/>
      <c r="K100" s="974">
        <f t="shared" si="167"/>
        <v>0</v>
      </c>
      <c r="L100" s="968">
        <f t="shared" ref="L100:L102" si="171">(K100*40)*E100</f>
        <v>0</v>
      </c>
      <c r="M100" s="968"/>
      <c r="N100" s="968"/>
      <c r="O100" s="969">
        <f t="shared" si="126"/>
        <v>0</v>
      </c>
      <c r="P100" s="970">
        <f t="shared" si="127"/>
        <v>0</v>
      </c>
      <c r="Q100" s="970">
        <f t="shared" si="134"/>
        <v>0</v>
      </c>
      <c r="R100" s="970">
        <f t="shared" si="128"/>
        <v>0</v>
      </c>
      <c r="S100" s="970">
        <f t="shared" si="121"/>
        <v>0</v>
      </c>
      <c r="T100" s="970">
        <f t="shared" si="129"/>
        <v>0</v>
      </c>
      <c r="U100" s="970">
        <f t="shared" si="130"/>
        <v>0</v>
      </c>
      <c r="V100" s="968">
        <f t="shared" si="122"/>
        <v>0</v>
      </c>
      <c r="W100" s="971">
        <f t="shared" si="123"/>
        <v>0</v>
      </c>
      <c r="X100" s="1452"/>
      <c r="Y100" s="975"/>
      <c r="Z100" s="975"/>
      <c r="AA100" s="976"/>
      <c r="AB100" s="1450"/>
    </row>
    <row r="101" spans="1:28" s="13" customFormat="1" ht="20.25" customHeight="1">
      <c r="A101" s="1449">
        <v>49</v>
      </c>
      <c r="B101" s="1449" t="s">
        <v>210</v>
      </c>
      <c r="C101" s="1449" t="s">
        <v>278</v>
      </c>
      <c r="D101" s="1447">
        <v>8</v>
      </c>
      <c r="E101" s="927">
        <v>5</v>
      </c>
      <c r="F101" s="930" t="s">
        <v>201</v>
      </c>
      <c r="G101" s="977">
        <v>2175000</v>
      </c>
      <c r="H101" s="964">
        <f>G101*E101</f>
        <v>10875000</v>
      </c>
      <c r="I101" s="965">
        <f t="shared" ref="I101:I102" si="172">G101*60%</f>
        <v>1305000</v>
      </c>
      <c r="J101" s="966">
        <f>40000*5</f>
        <v>200000</v>
      </c>
      <c r="K101" s="967">
        <f t="shared" si="167"/>
        <v>15610</v>
      </c>
      <c r="L101" s="968">
        <f t="shared" si="171"/>
        <v>3122000</v>
      </c>
      <c r="M101" s="968"/>
      <c r="N101" s="968"/>
      <c r="O101" s="969">
        <f t="shared" si="126"/>
        <v>4627000</v>
      </c>
      <c r="P101" s="970">
        <f t="shared" si="127"/>
        <v>1291840</v>
      </c>
      <c r="Q101" s="970">
        <f t="shared" si="134"/>
        <v>697590</v>
      </c>
      <c r="R101" s="970">
        <f t="shared" si="128"/>
        <v>517000</v>
      </c>
      <c r="S101" s="970">
        <f t="shared" ref="S101:S120" si="173">ROUNDUP(R101*10.25%,-1)</f>
        <v>53000</v>
      </c>
      <c r="T101" s="970">
        <f t="shared" si="129"/>
        <v>162770</v>
      </c>
      <c r="U101" s="970">
        <f t="shared" si="130"/>
        <v>124020</v>
      </c>
      <c r="V101" s="968">
        <f t="shared" ref="V101:V122" si="174">SUM(Q101:U101)</f>
        <v>1554380</v>
      </c>
      <c r="W101" s="971">
        <f t="shared" ref="W101:W120" si="175">SUM(P101,V101)</f>
        <v>2846220</v>
      </c>
      <c r="X101" s="1451">
        <f t="shared" si="164"/>
        <v>18348220</v>
      </c>
      <c r="Y101" s="972">
        <f>250000*5</f>
        <v>1250000</v>
      </c>
      <c r="Z101" s="972">
        <f>50000*5</f>
        <v>250000</v>
      </c>
      <c r="AA101" s="973">
        <f t="shared" ref="AA101" si="176">SUM(Y101:Z102)</f>
        <v>1500000</v>
      </c>
      <c r="AB101" s="1449" t="s">
        <v>279</v>
      </c>
    </row>
    <row r="102" spans="1:28" s="13" customFormat="1" ht="20.25" customHeight="1">
      <c r="A102" s="1450"/>
      <c r="B102" s="1450"/>
      <c r="C102" s="1450"/>
      <c r="D102" s="1448"/>
      <c r="E102" s="929"/>
      <c r="F102" s="930"/>
      <c r="G102" s="977"/>
      <c r="H102" s="964">
        <f t="shared" ref="H102" si="177">G102*E102</f>
        <v>0</v>
      </c>
      <c r="I102" s="965">
        <f t="shared" si="172"/>
        <v>0</v>
      </c>
      <c r="J102" s="966"/>
      <c r="K102" s="974">
        <f t="shared" si="167"/>
        <v>0</v>
      </c>
      <c r="L102" s="968">
        <f t="shared" si="171"/>
        <v>0</v>
      </c>
      <c r="M102" s="968"/>
      <c r="N102" s="968"/>
      <c r="O102" s="969">
        <f t="shared" si="126"/>
        <v>0</v>
      </c>
      <c r="P102" s="970">
        <f t="shared" si="127"/>
        <v>0</v>
      </c>
      <c r="Q102" s="970">
        <f t="shared" si="134"/>
        <v>0</v>
      </c>
      <c r="R102" s="970">
        <f t="shared" si="128"/>
        <v>0</v>
      </c>
      <c r="S102" s="970">
        <f t="shared" si="173"/>
        <v>0</v>
      </c>
      <c r="T102" s="970">
        <f t="shared" si="129"/>
        <v>0</v>
      </c>
      <c r="U102" s="970">
        <f t="shared" si="130"/>
        <v>0</v>
      </c>
      <c r="V102" s="968">
        <f t="shared" si="174"/>
        <v>0</v>
      </c>
      <c r="W102" s="971">
        <f t="shared" si="175"/>
        <v>0</v>
      </c>
      <c r="X102" s="1452"/>
      <c r="Y102" s="975"/>
      <c r="Z102" s="975"/>
      <c r="AA102" s="976"/>
      <c r="AB102" s="1450"/>
    </row>
    <row r="103" spans="1:28" s="13" customFormat="1" ht="20.25" customHeight="1">
      <c r="A103" s="1449">
        <v>50</v>
      </c>
      <c r="B103" s="1449" t="s">
        <v>210</v>
      </c>
      <c r="C103" s="1449" t="s">
        <v>271</v>
      </c>
      <c r="D103" s="1447">
        <v>7</v>
      </c>
      <c r="E103" s="927">
        <v>2</v>
      </c>
      <c r="F103" s="930" t="s">
        <v>197</v>
      </c>
      <c r="G103" s="977">
        <v>2493000</v>
      </c>
      <c r="H103" s="964">
        <f>G103*E103</f>
        <v>4986000</v>
      </c>
      <c r="I103" s="965">
        <f t="shared" ref="I103:I106" si="178">G103*60%</f>
        <v>1495800</v>
      </c>
      <c r="J103" s="966">
        <f>20000*2</f>
        <v>40000</v>
      </c>
      <c r="K103" s="967">
        <f t="shared" ref="K103:K106" si="179">ROUND(G103*1/209*1.5,-1)</f>
        <v>17890</v>
      </c>
      <c r="L103" s="968">
        <f t="shared" ref="L103:L106" si="180">(K103*40)*E103</f>
        <v>1431200</v>
      </c>
      <c r="M103" s="968"/>
      <c r="N103" s="968"/>
      <c r="O103" s="969">
        <f t="shared" si="126"/>
        <v>2967000</v>
      </c>
      <c r="P103" s="970">
        <f t="shared" si="127"/>
        <v>662750</v>
      </c>
      <c r="Q103" s="970">
        <f t="shared" si="134"/>
        <v>357890</v>
      </c>
      <c r="R103" s="970">
        <f t="shared" si="128"/>
        <v>265240</v>
      </c>
      <c r="S103" s="970">
        <f t="shared" si="173"/>
        <v>27190</v>
      </c>
      <c r="T103" s="970">
        <f t="shared" ref="T103:T120" si="181">ROUND((H103+I103+J103+L103+M103)*1.05%,-1)</f>
        <v>83510</v>
      </c>
      <c r="U103" s="970">
        <f t="shared" ref="U103:U120" si="182">ROUND((H103+I103+J103+L103+M103)*0.8%,-1)</f>
        <v>63620</v>
      </c>
      <c r="V103" s="968">
        <f t="shared" si="174"/>
        <v>797450</v>
      </c>
      <c r="W103" s="971">
        <f t="shared" si="175"/>
        <v>1460200</v>
      </c>
      <c r="X103" s="1451">
        <f t="shared" si="164"/>
        <v>9413200</v>
      </c>
      <c r="Y103" s="972">
        <f>250000*2</f>
        <v>500000</v>
      </c>
      <c r="Z103" s="972">
        <f>50000*2</f>
        <v>100000</v>
      </c>
      <c r="AA103" s="973">
        <f t="shared" ref="AA103" si="183">SUM(Y103:Z104)</f>
        <v>600000</v>
      </c>
      <c r="AB103" s="1449" t="s">
        <v>262</v>
      </c>
    </row>
    <row r="104" spans="1:28" s="13" customFormat="1" ht="20.25" customHeight="1">
      <c r="A104" s="1450"/>
      <c r="B104" s="1450"/>
      <c r="C104" s="1450"/>
      <c r="D104" s="1448"/>
      <c r="E104" s="929">
        <v>0</v>
      </c>
      <c r="F104" s="930"/>
      <c r="G104" s="977"/>
      <c r="H104" s="964">
        <f t="shared" ref="H104" si="184">G104*E104</f>
        <v>0</v>
      </c>
      <c r="I104" s="965">
        <f t="shared" si="178"/>
        <v>0</v>
      </c>
      <c r="J104" s="966"/>
      <c r="K104" s="974">
        <f t="shared" si="179"/>
        <v>0</v>
      </c>
      <c r="L104" s="968">
        <f t="shared" si="180"/>
        <v>0</v>
      </c>
      <c r="M104" s="968"/>
      <c r="N104" s="968"/>
      <c r="O104" s="969">
        <f t="shared" si="126"/>
        <v>0</v>
      </c>
      <c r="P104" s="970">
        <f t="shared" si="127"/>
        <v>0</v>
      </c>
      <c r="Q104" s="970">
        <f t="shared" si="134"/>
        <v>0</v>
      </c>
      <c r="R104" s="970">
        <f t="shared" si="128"/>
        <v>0</v>
      </c>
      <c r="S104" s="970">
        <f t="shared" si="173"/>
        <v>0</v>
      </c>
      <c r="T104" s="970">
        <f t="shared" si="181"/>
        <v>0</v>
      </c>
      <c r="U104" s="970">
        <f t="shared" si="182"/>
        <v>0</v>
      </c>
      <c r="V104" s="968">
        <f t="shared" si="174"/>
        <v>0</v>
      </c>
      <c r="W104" s="971">
        <f t="shared" si="175"/>
        <v>0</v>
      </c>
      <c r="X104" s="1452"/>
      <c r="Y104" s="975"/>
      <c r="Z104" s="975"/>
      <c r="AA104" s="976"/>
      <c r="AB104" s="1450"/>
    </row>
    <row r="105" spans="1:28" s="13" customFormat="1" ht="20.25" customHeight="1">
      <c r="A105" s="1449">
        <v>51</v>
      </c>
      <c r="B105" s="1449" t="s">
        <v>210</v>
      </c>
      <c r="C105" s="1449" t="s">
        <v>272</v>
      </c>
      <c r="D105" s="1447">
        <v>8</v>
      </c>
      <c r="E105" s="927">
        <v>1</v>
      </c>
      <c r="F105" s="930" t="s">
        <v>206</v>
      </c>
      <c r="G105" s="977">
        <v>2684000</v>
      </c>
      <c r="H105" s="964">
        <f>G105*E105</f>
        <v>2684000</v>
      </c>
      <c r="I105" s="965">
        <f t="shared" si="178"/>
        <v>1610400</v>
      </c>
      <c r="J105" s="966">
        <v>60000</v>
      </c>
      <c r="K105" s="967">
        <f t="shared" si="179"/>
        <v>19260</v>
      </c>
      <c r="L105" s="968">
        <f t="shared" si="180"/>
        <v>770400</v>
      </c>
      <c r="M105" s="968"/>
      <c r="N105" s="968"/>
      <c r="O105" s="969">
        <f t="shared" si="126"/>
        <v>2440800</v>
      </c>
      <c r="P105" s="970">
        <f t="shared" si="127"/>
        <v>427070</v>
      </c>
      <c r="Q105" s="970">
        <f t="shared" si="134"/>
        <v>230620</v>
      </c>
      <c r="R105" s="970">
        <f t="shared" si="128"/>
        <v>170920</v>
      </c>
      <c r="S105" s="970">
        <f t="shared" si="173"/>
        <v>17520</v>
      </c>
      <c r="T105" s="970">
        <f t="shared" si="181"/>
        <v>53810</v>
      </c>
      <c r="U105" s="970">
        <f t="shared" si="182"/>
        <v>41000</v>
      </c>
      <c r="V105" s="968">
        <f t="shared" si="174"/>
        <v>513870</v>
      </c>
      <c r="W105" s="971">
        <f t="shared" si="175"/>
        <v>940940</v>
      </c>
      <c r="X105" s="1451">
        <f t="shared" si="164"/>
        <v>6065740</v>
      </c>
      <c r="Y105" s="972">
        <f>250000*1</f>
        <v>250000</v>
      </c>
      <c r="Z105" s="972">
        <f>50000*1</f>
        <v>50000</v>
      </c>
      <c r="AA105" s="973">
        <f t="shared" ref="AA105" si="185">SUM(Y105:Z106)</f>
        <v>300000</v>
      </c>
      <c r="AB105" s="1449" t="s">
        <v>275</v>
      </c>
    </row>
    <row r="106" spans="1:28" s="13" customFormat="1" ht="20.25" customHeight="1">
      <c r="A106" s="1450"/>
      <c r="B106" s="1450"/>
      <c r="C106" s="1450"/>
      <c r="D106" s="1448"/>
      <c r="E106" s="929"/>
      <c r="F106" s="930"/>
      <c r="G106" s="977"/>
      <c r="H106" s="964">
        <f t="shared" ref="H106" si="186">G106*E106</f>
        <v>0</v>
      </c>
      <c r="I106" s="965">
        <f t="shared" si="178"/>
        <v>0</v>
      </c>
      <c r="J106" s="966"/>
      <c r="K106" s="974">
        <f t="shared" si="179"/>
        <v>0</v>
      </c>
      <c r="L106" s="968">
        <f t="shared" si="180"/>
        <v>0</v>
      </c>
      <c r="M106" s="968"/>
      <c r="N106" s="968"/>
      <c r="O106" s="969">
        <f t="shared" si="126"/>
        <v>0</v>
      </c>
      <c r="P106" s="970">
        <f t="shared" si="127"/>
        <v>0</v>
      </c>
      <c r="Q106" s="970">
        <f t="shared" si="134"/>
        <v>0</v>
      </c>
      <c r="R106" s="970">
        <f t="shared" si="128"/>
        <v>0</v>
      </c>
      <c r="S106" s="970">
        <f t="shared" si="173"/>
        <v>0</v>
      </c>
      <c r="T106" s="970">
        <f t="shared" si="181"/>
        <v>0</v>
      </c>
      <c r="U106" s="970">
        <f t="shared" si="182"/>
        <v>0</v>
      </c>
      <c r="V106" s="968">
        <f t="shared" si="174"/>
        <v>0</v>
      </c>
      <c r="W106" s="971">
        <f t="shared" si="175"/>
        <v>0</v>
      </c>
      <c r="X106" s="1452"/>
      <c r="Y106" s="975"/>
      <c r="Z106" s="975"/>
      <c r="AA106" s="976"/>
      <c r="AB106" s="1450"/>
    </row>
    <row r="107" spans="1:28" s="13" customFormat="1" ht="20.25" customHeight="1">
      <c r="A107" s="1449">
        <v>52</v>
      </c>
      <c r="B107" s="1449" t="s">
        <v>210</v>
      </c>
      <c r="C107" s="1449" t="s">
        <v>273</v>
      </c>
      <c r="D107" s="1447">
        <v>2</v>
      </c>
      <c r="E107" s="927">
        <v>2</v>
      </c>
      <c r="F107" s="930" t="s">
        <v>229</v>
      </c>
      <c r="G107" s="977">
        <v>2175000</v>
      </c>
      <c r="H107" s="964">
        <f>G107*E107</f>
        <v>4350000</v>
      </c>
      <c r="I107" s="965">
        <f t="shared" ref="I107:I108" si="187">G107*60%</f>
        <v>1305000</v>
      </c>
      <c r="J107" s="966">
        <f>60000*2</f>
        <v>120000</v>
      </c>
      <c r="K107" s="967">
        <f t="shared" ref="K107:K108" si="188">ROUND(G107*1/209*1.5,-1)</f>
        <v>15610</v>
      </c>
      <c r="L107" s="968">
        <f t="shared" ref="L107:L108" si="189">(K107*40)*E107</f>
        <v>1248800</v>
      </c>
      <c r="M107" s="968"/>
      <c r="N107" s="968"/>
      <c r="O107" s="969">
        <f t="shared" si="126"/>
        <v>2673800</v>
      </c>
      <c r="P107" s="970">
        <f t="shared" si="127"/>
        <v>585320</v>
      </c>
      <c r="Q107" s="970">
        <f t="shared" si="134"/>
        <v>316070</v>
      </c>
      <c r="R107" s="970">
        <f t="shared" si="128"/>
        <v>234250</v>
      </c>
      <c r="S107" s="970">
        <f t="shared" si="173"/>
        <v>24020</v>
      </c>
      <c r="T107" s="970">
        <f t="shared" si="181"/>
        <v>73750</v>
      </c>
      <c r="U107" s="970">
        <f t="shared" si="182"/>
        <v>56190</v>
      </c>
      <c r="V107" s="968">
        <f t="shared" si="174"/>
        <v>704280</v>
      </c>
      <c r="W107" s="971">
        <f t="shared" si="175"/>
        <v>1289600</v>
      </c>
      <c r="X107" s="1451">
        <f t="shared" ref="X107:X115" si="190">SUM(H107,H108,W107,W108,O107,O108)</f>
        <v>8313400</v>
      </c>
      <c r="Y107" s="972">
        <f>250000*2</f>
        <v>500000</v>
      </c>
      <c r="Z107" s="972">
        <f>50000*2</f>
        <v>100000</v>
      </c>
      <c r="AA107" s="973">
        <f t="shared" ref="AA107" si="191">SUM(Y107:Z108)</f>
        <v>600000</v>
      </c>
      <c r="AB107" s="1449" t="s">
        <v>262</v>
      </c>
    </row>
    <row r="108" spans="1:28" s="13" customFormat="1" ht="20.25" customHeight="1">
      <c r="A108" s="1450"/>
      <c r="B108" s="1450"/>
      <c r="C108" s="1450"/>
      <c r="D108" s="1448"/>
      <c r="E108" s="929"/>
      <c r="F108" s="930"/>
      <c r="G108" s="977"/>
      <c r="H108" s="964">
        <f t="shared" ref="H108" si="192">G108*E108</f>
        <v>0</v>
      </c>
      <c r="I108" s="965">
        <f t="shared" si="187"/>
        <v>0</v>
      </c>
      <c r="J108" s="966"/>
      <c r="K108" s="974">
        <f t="shared" si="188"/>
        <v>0</v>
      </c>
      <c r="L108" s="968">
        <f t="shared" si="189"/>
        <v>0</v>
      </c>
      <c r="M108" s="968"/>
      <c r="N108" s="968"/>
      <c r="O108" s="969">
        <f t="shared" si="126"/>
        <v>0</v>
      </c>
      <c r="P108" s="970">
        <f t="shared" si="127"/>
        <v>0</v>
      </c>
      <c r="Q108" s="970">
        <f t="shared" si="134"/>
        <v>0</v>
      </c>
      <c r="R108" s="970">
        <f t="shared" si="128"/>
        <v>0</v>
      </c>
      <c r="S108" s="970">
        <f t="shared" si="173"/>
        <v>0</v>
      </c>
      <c r="T108" s="970">
        <f t="shared" si="181"/>
        <v>0</v>
      </c>
      <c r="U108" s="970">
        <f t="shared" si="182"/>
        <v>0</v>
      </c>
      <c r="V108" s="968">
        <f t="shared" si="174"/>
        <v>0</v>
      </c>
      <c r="W108" s="971">
        <f t="shared" si="175"/>
        <v>0</v>
      </c>
      <c r="X108" s="1452"/>
      <c r="Y108" s="975"/>
      <c r="Z108" s="975"/>
      <c r="AA108" s="976"/>
      <c r="AB108" s="1450"/>
    </row>
    <row r="109" spans="1:28" s="13" customFormat="1" ht="20.25" customHeight="1">
      <c r="A109" s="1449">
        <v>53</v>
      </c>
      <c r="B109" s="1449" t="s">
        <v>210</v>
      </c>
      <c r="C109" s="1449" t="s">
        <v>274</v>
      </c>
      <c r="D109" s="1447">
        <v>8</v>
      </c>
      <c r="E109" s="927">
        <v>1</v>
      </c>
      <c r="F109" s="930" t="s">
        <v>238</v>
      </c>
      <c r="G109" s="977">
        <v>1873000</v>
      </c>
      <c r="H109" s="964">
        <f>G109*E109</f>
        <v>1873000</v>
      </c>
      <c r="I109" s="965">
        <f t="shared" ref="I109:I110" si="193">G109*60%</f>
        <v>1123800</v>
      </c>
      <c r="J109" s="966"/>
      <c r="K109" s="967">
        <f t="shared" ref="K109:K110" si="194">ROUND(G109*1/209*1.5,-1)</f>
        <v>13440</v>
      </c>
      <c r="L109" s="968">
        <f t="shared" ref="L109:L110" si="195">(K109*40)*E109</f>
        <v>537600</v>
      </c>
      <c r="M109" s="968"/>
      <c r="N109" s="968"/>
      <c r="O109" s="969">
        <f t="shared" si="126"/>
        <v>1661400</v>
      </c>
      <c r="P109" s="970">
        <f t="shared" si="127"/>
        <v>294540</v>
      </c>
      <c r="Q109" s="970">
        <f t="shared" si="134"/>
        <v>159050</v>
      </c>
      <c r="R109" s="970">
        <f t="shared" si="128"/>
        <v>117880</v>
      </c>
      <c r="S109" s="970">
        <f t="shared" si="173"/>
        <v>12090</v>
      </c>
      <c r="T109" s="970">
        <f t="shared" si="181"/>
        <v>37110</v>
      </c>
      <c r="U109" s="970">
        <f t="shared" si="182"/>
        <v>28280</v>
      </c>
      <c r="V109" s="968">
        <f t="shared" si="174"/>
        <v>354410</v>
      </c>
      <c r="W109" s="971">
        <f t="shared" si="175"/>
        <v>648950</v>
      </c>
      <c r="X109" s="1451">
        <f t="shared" si="190"/>
        <v>4183350</v>
      </c>
      <c r="Y109" s="972">
        <f>200000*1</f>
        <v>200000</v>
      </c>
      <c r="Z109" s="972">
        <f>50000*1</f>
        <v>50000</v>
      </c>
      <c r="AA109" s="973">
        <f t="shared" ref="AA109" si="196">SUM(Y109:Z110)</f>
        <v>250000</v>
      </c>
      <c r="AB109" s="1449" t="s">
        <v>275</v>
      </c>
    </row>
    <row r="110" spans="1:28" s="13" customFormat="1" ht="20.25" customHeight="1">
      <c r="A110" s="1450"/>
      <c r="B110" s="1450"/>
      <c r="C110" s="1450"/>
      <c r="D110" s="1448"/>
      <c r="E110" s="929"/>
      <c r="F110" s="930"/>
      <c r="G110" s="977"/>
      <c r="H110" s="964">
        <f t="shared" ref="H110" si="197">G110*E110</f>
        <v>0</v>
      </c>
      <c r="I110" s="965">
        <f t="shared" si="193"/>
        <v>0</v>
      </c>
      <c r="J110" s="966"/>
      <c r="K110" s="974">
        <f t="shared" si="194"/>
        <v>0</v>
      </c>
      <c r="L110" s="968">
        <f t="shared" si="195"/>
        <v>0</v>
      </c>
      <c r="M110" s="968"/>
      <c r="N110" s="968"/>
      <c r="O110" s="969">
        <f t="shared" si="126"/>
        <v>0</v>
      </c>
      <c r="P110" s="970">
        <f t="shared" si="127"/>
        <v>0</v>
      </c>
      <c r="Q110" s="970">
        <f t="shared" si="134"/>
        <v>0</v>
      </c>
      <c r="R110" s="970">
        <f t="shared" si="128"/>
        <v>0</v>
      </c>
      <c r="S110" s="970">
        <f t="shared" si="173"/>
        <v>0</v>
      </c>
      <c r="T110" s="970">
        <f t="shared" si="181"/>
        <v>0</v>
      </c>
      <c r="U110" s="970">
        <f t="shared" si="182"/>
        <v>0</v>
      </c>
      <c r="V110" s="968">
        <f t="shared" si="174"/>
        <v>0</v>
      </c>
      <c r="W110" s="971">
        <f t="shared" si="175"/>
        <v>0</v>
      </c>
      <c r="X110" s="1452"/>
      <c r="Y110" s="975"/>
      <c r="Z110" s="975"/>
      <c r="AA110" s="976"/>
      <c r="AB110" s="1450"/>
    </row>
    <row r="111" spans="1:28" s="13" customFormat="1" ht="20.25" customHeight="1">
      <c r="A111" s="1449">
        <v>54</v>
      </c>
      <c r="B111" s="1449" t="s">
        <v>251</v>
      </c>
      <c r="C111" s="1449" t="s">
        <v>250</v>
      </c>
      <c r="D111" s="1447">
        <v>9</v>
      </c>
      <c r="E111" s="927">
        <v>8</v>
      </c>
      <c r="F111" s="930" t="s">
        <v>197</v>
      </c>
      <c r="G111" s="977">
        <v>2259000</v>
      </c>
      <c r="H111" s="964">
        <f t="shared" si="137"/>
        <v>18072000</v>
      </c>
      <c r="I111" s="965">
        <f t="shared" si="138"/>
        <v>1355400</v>
      </c>
      <c r="J111" s="966">
        <f>40000*12</f>
        <v>480000</v>
      </c>
      <c r="K111" s="967">
        <f t="shared" si="139"/>
        <v>16210</v>
      </c>
      <c r="L111" s="968">
        <f t="shared" ref="L111:L112" si="198">(K111*20)*E111</f>
        <v>2593600</v>
      </c>
      <c r="M111" s="968">
        <f t="shared" ref="M111:M112" si="199">(K111*5)*E111</f>
        <v>648400</v>
      </c>
      <c r="N111" s="968"/>
      <c r="O111" s="969">
        <f t="shared" si="126"/>
        <v>5077400</v>
      </c>
      <c r="P111" s="970">
        <f t="shared" si="127"/>
        <v>1929120</v>
      </c>
      <c r="Q111" s="970">
        <f t="shared" si="134"/>
        <v>1041720</v>
      </c>
      <c r="R111" s="970">
        <f t="shared" si="128"/>
        <v>772040</v>
      </c>
      <c r="S111" s="970">
        <f t="shared" si="173"/>
        <v>79140</v>
      </c>
      <c r="T111" s="970">
        <f t="shared" si="181"/>
        <v>243070</v>
      </c>
      <c r="U111" s="970">
        <f t="shared" si="182"/>
        <v>185200</v>
      </c>
      <c r="V111" s="968">
        <f t="shared" si="174"/>
        <v>2321170</v>
      </c>
      <c r="W111" s="971">
        <f t="shared" si="175"/>
        <v>4250290</v>
      </c>
      <c r="X111" s="1451">
        <f t="shared" si="190"/>
        <v>41913740</v>
      </c>
      <c r="Y111" s="972">
        <f t="shared" ref="Y111" si="200">250000*12</f>
        <v>3000000</v>
      </c>
      <c r="Z111" s="972">
        <f t="shared" ref="Z111" si="201">50000*12</f>
        <v>600000</v>
      </c>
      <c r="AA111" s="973">
        <f t="shared" ref="AA111" si="202">SUM(Y111:Z112)</f>
        <v>3600000</v>
      </c>
      <c r="AB111" s="1449"/>
    </row>
    <row r="112" spans="1:28" s="13" customFormat="1" ht="20.25" customHeight="1">
      <c r="A112" s="1450"/>
      <c r="B112" s="1450"/>
      <c r="C112" s="1450"/>
      <c r="D112" s="1448"/>
      <c r="E112" s="929">
        <v>4</v>
      </c>
      <c r="F112" s="930" t="s">
        <v>163</v>
      </c>
      <c r="G112" s="977">
        <v>2306000</v>
      </c>
      <c r="H112" s="964">
        <f t="shared" si="137"/>
        <v>9224000</v>
      </c>
      <c r="I112" s="965">
        <f t="shared" si="138"/>
        <v>1383600</v>
      </c>
      <c r="J112" s="966"/>
      <c r="K112" s="974">
        <f t="shared" si="139"/>
        <v>16550</v>
      </c>
      <c r="L112" s="968">
        <f t="shared" si="198"/>
        <v>1324000</v>
      </c>
      <c r="M112" s="968">
        <f t="shared" si="199"/>
        <v>331000</v>
      </c>
      <c r="N112" s="968"/>
      <c r="O112" s="969">
        <f t="shared" si="126"/>
        <v>3038600</v>
      </c>
      <c r="P112" s="970">
        <f t="shared" si="127"/>
        <v>1021890</v>
      </c>
      <c r="Q112" s="970">
        <f t="shared" si="134"/>
        <v>551820</v>
      </c>
      <c r="R112" s="970">
        <f t="shared" si="128"/>
        <v>408960</v>
      </c>
      <c r="S112" s="970">
        <f t="shared" si="173"/>
        <v>41920</v>
      </c>
      <c r="T112" s="970">
        <f t="shared" si="181"/>
        <v>128760</v>
      </c>
      <c r="U112" s="970">
        <f t="shared" si="182"/>
        <v>98100</v>
      </c>
      <c r="V112" s="968">
        <f t="shared" si="174"/>
        <v>1229560</v>
      </c>
      <c r="W112" s="971">
        <f t="shared" si="175"/>
        <v>2251450</v>
      </c>
      <c r="X112" s="1452"/>
      <c r="Y112" s="975"/>
      <c r="Z112" s="975"/>
      <c r="AA112" s="976"/>
      <c r="AB112" s="1450"/>
    </row>
    <row r="113" spans="1:30" s="13" customFormat="1" ht="20.25" customHeight="1">
      <c r="A113" s="1449">
        <v>55</v>
      </c>
      <c r="B113" s="1449" t="s">
        <v>252</v>
      </c>
      <c r="C113" s="1449" t="s">
        <v>253</v>
      </c>
      <c r="D113" s="1447">
        <v>1</v>
      </c>
      <c r="E113" s="927">
        <v>12</v>
      </c>
      <c r="F113" s="930" t="s">
        <v>258</v>
      </c>
      <c r="G113" s="977">
        <v>1796000</v>
      </c>
      <c r="H113" s="964">
        <f t="shared" si="137"/>
        <v>21552000</v>
      </c>
      <c r="I113" s="965">
        <f>(G113*60%)*2</f>
        <v>2155200</v>
      </c>
      <c r="J113" s="966">
        <f>20000*12</f>
        <v>240000</v>
      </c>
      <c r="K113" s="967">
        <f t="shared" si="139"/>
        <v>12890</v>
      </c>
      <c r="L113" s="968">
        <f t="shared" ref="L113:L120" si="203">(K113*40)*E113</f>
        <v>6187200</v>
      </c>
      <c r="M113" s="968"/>
      <c r="N113" s="968"/>
      <c r="O113" s="969">
        <f t="shared" si="126"/>
        <v>8582400</v>
      </c>
      <c r="P113" s="970">
        <f t="shared" si="127"/>
        <v>2511200</v>
      </c>
      <c r="Q113" s="970">
        <f t="shared" si="134"/>
        <v>1356050</v>
      </c>
      <c r="R113" s="970">
        <f t="shared" si="128"/>
        <v>1004990</v>
      </c>
      <c r="S113" s="970">
        <f t="shared" si="173"/>
        <v>103020</v>
      </c>
      <c r="T113" s="970">
        <f t="shared" si="181"/>
        <v>316410</v>
      </c>
      <c r="U113" s="970">
        <f t="shared" si="182"/>
        <v>241080</v>
      </c>
      <c r="V113" s="968">
        <f t="shared" si="174"/>
        <v>3021550</v>
      </c>
      <c r="W113" s="971">
        <f t="shared" si="175"/>
        <v>5532750</v>
      </c>
      <c r="X113" s="1451">
        <f t="shared" si="190"/>
        <v>35667150</v>
      </c>
      <c r="Y113" s="972">
        <f>200000*12</f>
        <v>2400000</v>
      </c>
      <c r="Z113" s="972">
        <f t="shared" ref="Z113" si="204">50000*12</f>
        <v>600000</v>
      </c>
      <c r="AA113" s="973">
        <f t="shared" ref="AA113" si="205">SUM(Y113:Z114)</f>
        <v>3000000</v>
      </c>
      <c r="AB113" s="1449" t="s">
        <v>260</v>
      </c>
    </row>
    <row r="114" spans="1:30" s="13" customFormat="1" ht="20.25" customHeight="1">
      <c r="A114" s="1450"/>
      <c r="B114" s="1450"/>
      <c r="C114" s="1450"/>
      <c r="D114" s="1448"/>
      <c r="E114" s="929"/>
      <c r="F114" s="930"/>
      <c r="G114" s="977"/>
      <c r="H114" s="964">
        <f t="shared" si="137"/>
        <v>0</v>
      </c>
      <c r="I114" s="965">
        <f t="shared" si="138"/>
        <v>0</v>
      </c>
      <c r="J114" s="966"/>
      <c r="K114" s="974">
        <f t="shared" si="139"/>
        <v>0</v>
      </c>
      <c r="L114" s="968">
        <f t="shared" si="203"/>
        <v>0</v>
      </c>
      <c r="M114" s="968"/>
      <c r="N114" s="968"/>
      <c r="O114" s="969">
        <f t="shared" si="126"/>
        <v>0</v>
      </c>
      <c r="P114" s="970">
        <f t="shared" si="127"/>
        <v>0</v>
      </c>
      <c r="Q114" s="970">
        <f t="shared" si="134"/>
        <v>0</v>
      </c>
      <c r="R114" s="970">
        <f t="shared" si="128"/>
        <v>0</v>
      </c>
      <c r="S114" s="970">
        <f t="shared" si="173"/>
        <v>0</v>
      </c>
      <c r="T114" s="970">
        <f t="shared" si="181"/>
        <v>0</v>
      </c>
      <c r="U114" s="970">
        <f t="shared" si="182"/>
        <v>0</v>
      </c>
      <c r="V114" s="968">
        <f t="shared" si="174"/>
        <v>0</v>
      </c>
      <c r="W114" s="971">
        <f t="shared" si="175"/>
        <v>0</v>
      </c>
      <c r="X114" s="1452"/>
      <c r="Y114" s="975"/>
      <c r="Z114" s="975"/>
      <c r="AA114" s="976"/>
      <c r="AB114" s="1450"/>
    </row>
    <row r="115" spans="1:30" s="13" customFormat="1" ht="20.25" customHeight="1">
      <c r="A115" s="1449">
        <v>56</v>
      </c>
      <c r="B115" s="1449" t="s">
        <v>252</v>
      </c>
      <c r="C115" s="1449" t="s">
        <v>254</v>
      </c>
      <c r="D115" s="1447">
        <v>3</v>
      </c>
      <c r="E115" s="927">
        <v>2</v>
      </c>
      <c r="F115" s="930" t="s">
        <v>229</v>
      </c>
      <c r="G115" s="977">
        <v>2049000</v>
      </c>
      <c r="H115" s="964">
        <f t="shared" si="137"/>
        <v>4098000</v>
      </c>
      <c r="I115" s="965">
        <f t="shared" si="138"/>
        <v>1229400</v>
      </c>
      <c r="J115" s="966">
        <f>100000*12</f>
        <v>1200000</v>
      </c>
      <c r="K115" s="967">
        <f t="shared" si="139"/>
        <v>14710</v>
      </c>
      <c r="L115" s="968">
        <f t="shared" si="203"/>
        <v>1176800</v>
      </c>
      <c r="M115" s="968"/>
      <c r="N115" s="968"/>
      <c r="O115" s="969">
        <f t="shared" si="126"/>
        <v>3606200</v>
      </c>
      <c r="P115" s="970">
        <f t="shared" si="127"/>
        <v>642020</v>
      </c>
      <c r="Q115" s="970">
        <f t="shared" si="134"/>
        <v>346690</v>
      </c>
      <c r="R115" s="970">
        <f t="shared" si="128"/>
        <v>256940</v>
      </c>
      <c r="S115" s="970">
        <f t="shared" si="173"/>
        <v>26340</v>
      </c>
      <c r="T115" s="970">
        <f t="shared" si="181"/>
        <v>80890</v>
      </c>
      <c r="U115" s="970">
        <f t="shared" si="182"/>
        <v>61630</v>
      </c>
      <c r="V115" s="968">
        <f t="shared" si="174"/>
        <v>772490</v>
      </c>
      <c r="W115" s="971">
        <f t="shared" si="175"/>
        <v>1414510</v>
      </c>
      <c r="X115" s="1451">
        <f t="shared" si="190"/>
        <v>42459140</v>
      </c>
      <c r="Y115" s="972">
        <f t="shared" ref="Y115" si="206">250000*12</f>
        <v>3000000</v>
      </c>
      <c r="Z115" s="972">
        <f t="shared" ref="Z115" si="207">50000*12</f>
        <v>600000</v>
      </c>
      <c r="AA115" s="973">
        <f t="shared" ref="AA115" si="208">SUM(Y115:Z116)</f>
        <v>3600000</v>
      </c>
      <c r="AB115" s="1449"/>
    </row>
    <row r="116" spans="1:30" s="13" customFormat="1" ht="20.25" customHeight="1">
      <c r="A116" s="1450"/>
      <c r="B116" s="1450"/>
      <c r="C116" s="1450"/>
      <c r="D116" s="1448"/>
      <c r="E116" s="929">
        <v>10</v>
      </c>
      <c r="F116" s="930" t="s">
        <v>215</v>
      </c>
      <c r="G116" s="977">
        <v>2091000</v>
      </c>
      <c r="H116" s="964">
        <f t="shared" si="137"/>
        <v>20910000</v>
      </c>
      <c r="I116" s="965">
        <f t="shared" si="138"/>
        <v>1254600</v>
      </c>
      <c r="J116" s="966"/>
      <c r="K116" s="974">
        <f t="shared" si="139"/>
        <v>15010</v>
      </c>
      <c r="L116" s="968">
        <f t="shared" si="203"/>
        <v>6004000</v>
      </c>
      <c r="M116" s="968"/>
      <c r="N116" s="968"/>
      <c r="O116" s="969">
        <f t="shared" si="126"/>
        <v>7258600</v>
      </c>
      <c r="P116" s="970">
        <f t="shared" si="127"/>
        <v>2347390</v>
      </c>
      <c r="Q116" s="970">
        <f t="shared" si="134"/>
        <v>1267590</v>
      </c>
      <c r="R116" s="970">
        <f t="shared" si="128"/>
        <v>939430</v>
      </c>
      <c r="S116" s="970">
        <f t="shared" si="173"/>
        <v>96300</v>
      </c>
      <c r="T116" s="970">
        <f t="shared" si="181"/>
        <v>295770</v>
      </c>
      <c r="U116" s="970">
        <f t="shared" si="182"/>
        <v>225350</v>
      </c>
      <c r="V116" s="968">
        <f t="shared" si="174"/>
        <v>2824440</v>
      </c>
      <c r="W116" s="971">
        <f t="shared" si="175"/>
        <v>5171830</v>
      </c>
      <c r="X116" s="1452"/>
      <c r="Y116" s="975"/>
      <c r="Z116" s="975"/>
      <c r="AA116" s="976"/>
      <c r="AB116" s="1450"/>
    </row>
    <row r="117" spans="1:30" s="13" customFormat="1" ht="20.25" customHeight="1">
      <c r="A117" s="1449">
        <v>57</v>
      </c>
      <c r="B117" s="1449" t="s">
        <v>252</v>
      </c>
      <c r="C117" s="1449" t="s">
        <v>266</v>
      </c>
      <c r="D117" s="1447">
        <v>7</v>
      </c>
      <c r="E117" s="927">
        <v>6</v>
      </c>
      <c r="F117" s="930" t="s">
        <v>258</v>
      </c>
      <c r="G117" s="977">
        <v>1796000</v>
      </c>
      <c r="H117" s="964">
        <f t="shared" ref="H117:H118" si="209">G117*E117</f>
        <v>10776000</v>
      </c>
      <c r="I117" s="965">
        <f t="shared" ref="I117:I118" si="210">G117*60%</f>
        <v>1077600</v>
      </c>
      <c r="J117" s="966">
        <f>40000*6</f>
        <v>240000</v>
      </c>
      <c r="K117" s="967">
        <f t="shared" ref="K117:K118" si="211">ROUND(G117*1/209*1.5,-1)</f>
        <v>12890</v>
      </c>
      <c r="L117" s="968">
        <f t="shared" ref="L117:L118" si="212">(K117*40)*E117</f>
        <v>3093600</v>
      </c>
      <c r="M117" s="968"/>
      <c r="N117" s="968"/>
      <c r="O117" s="969">
        <f t="shared" si="126"/>
        <v>4411200</v>
      </c>
      <c r="P117" s="970">
        <f t="shared" si="127"/>
        <v>1265600</v>
      </c>
      <c r="Q117" s="970">
        <f t="shared" si="134"/>
        <v>683420</v>
      </c>
      <c r="R117" s="970">
        <f t="shared" si="128"/>
        <v>506500</v>
      </c>
      <c r="S117" s="970">
        <f t="shared" si="173"/>
        <v>51920</v>
      </c>
      <c r="T117" s="970">
        <f t="shared" si="181"/>
        <v>159470</v>
      </c>
      <c r="U117" s="970">
        <f t="shared" si="182"/>
        <v>121500</v>
      </c>
      <c r="V117" s="968">
        <f t="shared" si="174"/>
        <v>1522810</v>
      </c>
      <c r="W117" s="971">
        <f t="shared" si="175"/>
        <v>2788410</v>
      </c>
      <c r="X117" s="1451">
        <f t="shared" ref="X117:X121" si="213">SUM(H117,H118,W117,W118,O117,O118)</f>
        <v>17975610</v>
      </c>
      <c r="Y117" s="972">
        <f>200000*6</f>
        <v>1200000</v>
      </c>
      <c r="Z117" s="972">
        <f>50000*6</f>
        <v>300000</v>
      </c>
      <c r="AA117" s="973">
        <f t="shared" ref="AA117" si="214">SUM(Y117:Z118)</f>
        <v>1500000</v>
      </c>
      <c r="AB117" s="1449" t="s">
        <v>267</v>
      </c>
    </row>
    <row r="118" spans="1:30" s="13" customFormat="1" ht="20.25" customHeight="1">
      <c r="A118" s="1450"/>
      <c r="B118" s="1450"/>
      <c r="C118" s="1450"/>
      <c r="D118" s="1448"/>
      <c r="E118" s="929"/>
      <c r="F118" s="930"/>
      <c r="G118" s="977"/>
      <c r="H118" s="964">
        <f t="shared" si="209"/>
        <v>0</v>
      </c>
      <c r="I118" s="965">
        <f t="shared" si="210"/>
        <v>0</v>
      </c>
      <c r="J118" s="966"/>
      <c r="K118" s="974">
        <f t="shared" si="211"/>
        <v>0</v>
      </c>
      <c r="L118" s="968">
        <f t="shared" si="212"/>
        <v>0</v>
      </c>
      <c r="M118" s="968"/>
      <c r="N118" s="968"/>
      <c r="O118" s="969">
        <f t="shared" si="126"/>
        <v>0</v>
      </c>
      <c r="P118" s="970">
        <f t="shared" si="127"/>
        <v>0</v>
      </c>
      <c r="Q118" s="970">
        <f t="shared" si="134"/>
        <v>0</v>
      </c>
      <c r="R118" s="970">
        <f t="shared" si="128"/>
        <v>0</v>
      </c>
      <c r="S118" s="970">
        <f t="shared" si="173"/>
        <v>0</v>
      </c>
      <c r="T118" s="970">
        <f t="shared" si="181"/>
        <v>0</v>
      </c>
      <c r="U118" s="970">
        <f t="shared" si="182"/>
        <v>0</v>
      </c>
      <c r="V118" s="968">
        <f t="shared" si="174"/>
        <v>0</v>
      </c>
      <c r="W118" s="971">
        <f t="shared" si="175"/>
        <v>0</v>
      </c>
      <c r="X118" s="1452"/>
      <c r="Y118" s="975"/>
      <c r="Z118" s="975"/>
      <c r="AA118" s="976"/>
      <c r="AB118" s="1450"/>
    </row>
    <row r="119" spans="1:30" s="13" customFormat="1" ht="20.25" customHeight="1">
      <c r="A119" s="1449">
        <v>58</v>
      </c>
      <c r="B119" s="1449" t="s">
        <v>252</v>
      </c>
      <c r="C119" s="1449" t="s">
        <v>255</v>
      </c>
      <c r="D119" s="1447">
        <v>9</v>
      </c>
      <c r="E119" s="927">
        <v>6</v>
      </c>
      <c r="F119" s="930" t="s">
        <v>200</v>
      </c>
      <c r="G119" s="977">
        <v>1967000</v>
      </c>
      <c r="H119" s="964">
        <f>G119*E119</f>
        <v>11802000</v>
      </c>
      <c r="I119" s="965">
        <f t="shared" si="138"/>
        <v>1180200</v>
      </c>
      <c r="J119" s="966">
        <f>40000*6</f>
        <v>240000</v>
      </c>
      <c r="K119" s="967">
        <f t="shared" si="139"/>
        <v>14120</v>
      </c>
      <c r="L119" s="968">
        <f t="shared" si="203"/>
        <v>3388800</v>
      </c>
      <c r="M119" s="968"/>
      <c r="N119" s="968"/>
      <c r="O119" s="969">
        <f t="shared" si="126"/>
        <v>4809000</v>
      </c>
      <c r="P119" s="970">
        <f t="shared" si="127"/>
        <v>1384250</v>
      </c>
      <c r="Q119" s="970">
        <f>ROUND((H119+I119+J119+L119+M119)*4.5%,-1)</f>
        <v>747500</v>
      </c>
      <c r="R119" s="970">
        <f t="shared" si="128"/>
        <v>553980</v>
      </c>
      <c r="S119" s="970">
        <f t="shared" si="173"/>
        <v>56790</v>
      </c>
      <c r="T119" s="970">
        <f t="shared" si="181"/>
        <v>174420</v>
      </c>
      <c r="U119" s="970">
        <f t="shared" si="182"/>
        <v>132890</v>
      </c>
      <c r="V119" s="968">
        <f t="shared" si="174"/>
        <v>1665580</v>
      </c>
      <c r="W119" s="971">
        <f t="shared" si="175"/>
        <v>3049830</v>
      </c>
      <c r="X119" s="1451">
        <f t="shared" si="213"/>
        <v>19660830</v>
      </c>
      <c r="Y119" s="972">
        <f>200000*6</f>
        <v>1200000</v>
      </c>
      <c r="Z119" s="972">
        <f>50000*6</f>
        <v>300000</v>
      </c>
      <c r="AA119" s="973">
        <f t="shared" ref="AA119" si="215">SUM(Y119:Z120)</f>
        <v>1500000</v>
      </c>
      <c r="AB119" s="1449" t="s">
        <v>268</v>
      </c>
    </row>
    <row r="120" spans="1:30" s="13" customFormat="1" ht="20.25" customHeight="1">
      <c r="A120" s="1450"/>
      <c r="B120" s="1450"/>
      <c r="C120" s="1450"/>
      <c r="D120" s="1448"/>
      <c r="E120" s="929"/>
      <c r="F120" s="930"/>
      <c r="G120" s="977"/>
      <c r="H120" s="964">
        <f t="shared" si="137"/>
        <v>0</v>
      </c>
      <c r="I120" s="965">
        <f t="shared" si="138"/>
        <v>0</v>
      </c>
      <c r="J120" s="966"/>
      <c r="K120" s="974">
        <f t="shared" si="139"/>
        <v>0</v>
      </c>
      <c r="L120" s="968">
        <f t="shared" si="203"/>
        <v>0</v>
      </c>
      <c r="M120" s="968"/>
      <c r="N120" s="968"/>
      <c r="O120" s="969">
        <f t="shared" si="126"/>
        <v>0</v>
      </c>
      <c r="P120" s="970">
        <f t="shared" si="127"/>
        <v>0</v>
      </c>
      <c r="Q120" s="970">
        <f t="shared" si="134"/>
        <v>0</v>
      </c>
      <c r="R120" s="970">
        <f t="shared" si="128"/>
        <v>0</v>
      </c>
      <c r="S120" s="970">
        <f t="shared" si="173"/>
        <v>0</v>
      </c>
      <c r="T120" s="970">
        <f t="shared" si="181"/>
        <v>0</v>
      </c>
      <c r="U120" s="970">
        <f t="shared" si="182"/>
        <v>0</v>
      </c>
      <c r="V120" s="968">
        <f t="shared" si="174"/>
        <v>0</v>
      </c>
      <c r="W120" s="971">
        <f t="shared" si="175"/>
        <v>0</v>
      </c>
      <c r="X120" s="1452"/>
      <c r="Y120" s="975"/>
      <c r="Z120" s="975"/>
      <c r="AA120" s="976"/>
      <c r="AB120" s="1450"/>
    </row>
    <row r="121" spans="1:30" s="13" customFormat="1" ht="20.25" customHeight="1">
      <c r="A121" s="1449">
        <v>59</v>
      </c>
      <c r="B121" s="1449" t="s">
        <v>256</v>
      </c>
      <c r="C121" s="1449" t="s">
        <v>257</v>
      </c>
      <c r="D121" s="1447">
        <v>1</v>
      </c>
      <c r="E121" s="927">
        <v>12</v>
      </c>
      <c r="F121" s="930" t="s">
        <v>258</v>
      </c>
      <c r="G121" s="977">
        <v>2536000</v>
      </c>
      <c r="H121" s="964">
        <f t="shared" si="137"/>
        <v>30432000</v>
      </c>
      <c r="I121" s="964"/>
      <c r="J121" s="1056"/>
      <c r="K121" s="1057"/>
      <c r="L121" s="971">
        <f t="shared" ref="L121" si="216">(K121*20)*5</f>
        <v>0</v>
      </c>
      <c r="M121" s="971"/>
      <c r="N121" s="971"/>
      <c r="O121" s="969">
        <f t="shared" si="126"/>
        <v>0</v>
      </c>
      <c r="P121" s="1057"/>
      <c r="Q121" s="1057"/>
      <c r="R121" s="1057"/>
      <c r="S121" s="1057"/>
      <c r="T121" s="1057"/>
      <c r="U121" s="1057"/>
      <c r="V121" s="971">
        <f t="shared" si="174"/>
        <v>0</v>
      </c>
      <c r="W121" s="971"/>
      <c r="X121" s="1451">
        <f t="shared" si="213"/>
        <v>30432000</v>
      </c>
      <c r="Y121" s="972"/>
      <c r="Z121" s="972"/>
      <c r="AA121" s="973"/>
      <c r="AB121" s="1449"/>
    </row>
    <row r="122" spans="1:30" s="13" customFormat="1" ht="20.25" customHeight="1">
      <c r="A122" s="1450"/>
      <c r="B122" s="1450"/>
      <c r="C122" s="1450"/>
      <c r="D122" s="1448"/>
      <c r="E122" s="929"/>
      <c r="F122" s="930"/>
      <c r="G122" s="977"/>
      <c r="H122" s="964">
        <f t="shared" si="137"/>
        <v>0</v>
      </c>
      <c r="I122" s="964">
        <f t="shared" si="138"/>
        <v>0</v>
      </c>
      <c r="J122" s="1056"/>
      <c r="K122" s="1057">
        <f t="shared" si="139"/>
        <v>0</v>
      </c>
      <c r="L122" s="971">
        <f t="shared" ref="L122" si="217">(K122*20)*7</f>
        <v>0</v>
      </c>
      <c r="M122" s="971"/>
      <c r="N122" s="971"/>
      <c r="O122" s="969">
        <f t="shared" si="126"/>
        <v>0</v>
      </c>
      <c r="P122" s="1057">
        <f t="shared" si="127"/>
        <v>0</v>
      </c>
      <c r="Q122" s="1057">
        <f t="shared" si="134"/>
        <v>0</v>
      </c>
      <c r="R122" s="1057">
        <f t="shared" si="128"/>
        <v>0</v>
      </c>
      <c r="S122" s="1057">
        <f>ROUNDUP(R122*10.25%,-1)</f>
        <v>0</v>
      </c>
      <c r="T122" s="1057">
        <f>ROUND((H122+I122+J122+L122+M122)*1.05%,-1)</f>
        <v>0</v>
      </c>
      <c r="U122" s="1057">
        <f>ROUND((H122+I122+J122+L122+M122)*0.8%,-1)</f>
        <v>0</v>
      </c>
      <c r="V122" s="971">
        <f t="shared" si="174"/>
        <v>0</v>
      </c>
      <c r="W122" s="971">
        <f>SUM(P122,V122)</f>
        <v>0</v>
      </c>
      <c r="X122" s="1452"/>
      <c r="Y122" s="975"/>
      <c r="Z122" s="975"/>
      <c r="AA122" s="976"/>
      <c r="AB122" s="1450"/>
    </row>
    <row r="123" spans="1:30" s="129" customFormat="1" ht="23.25" customHeight="1">
      <c r="A123" s="1454" t="s">
        <v>383</v>
      </c>
      <c r="B123" s="1454"/>
      <c r="C123" s="1454"/>
      <c r="D123" s="1454"/>
      <c r="E123" s="1454"/>
      <c r="F123" s="1454"/>
      <c r="G123" s="1454"/>
      <c r="H123" s="1208">
        <f>SUM(H5:H122)</f>
        <v>1400044000</v>
      </c>
      <c r="I123" s="1208">
        <f>SUM(I5:I122)</f>
        <v>137981400</v>
      </c>
      <c r="J123" s="1208">
        <f>SUM(J5:J122)</f>
        <v>21920000</v>
      </c>
      <c r="K123" s="1208"/>
      <c r="L123" s="1208">
        <f>SUM(L5:L122)</f>
        <v>284211000</v>
      </c>
      <c r="M123" s="1208">
        <f>SUM(M5:M122)</f>
        <v>27243450</v>
      </c>
      <c r="N123" s="931">
        <f t="shared" ref="N123" si="218">SUM(N5:N122)</f>
        <v>0</v>
      </c>
      <c r="O123" s="931">
        <f t="shared" ref="O123:S123" si="219">SUM(O5:O122)</f>
        <v>471355850</v>
      </c>
      <c r="P123" s="934">
        <f t="shared" si="219"/>
        <v>153414320</v>
      </c>
      <c r="Q123" s="934">
        <f>SUM(Q5:Q122)</f>
        <v>80253110</v>
      </c>
      <c r="R123" s="934">
        <f t="shared" si="219"/>
        <v>61396810</v>
      </c>
      <c r="S123" s="934">
        <f t="shared" si="219"/>
        <v>6293650</v>
      </c>
      <c r="T123" s="934">
        <f t="shared" ref="T123:U123" si="220">SUM(T5:T122)</f>
        <v>18725700</v>
      </c>
      <c r="U123" s="934">
        <f t="shared" si="220"/>
        <v>14267250</v>
      </c>
      <c r="V123" s="934">
        <f>SUM(V5:V122)</f>
        <v>180936520</v>
      </c>
      <c r="W123" s="935">
        <f>SUM(W5:W122)</f>
        <v>334350840</v>
      </c>
      <c r="X123" s="936">
        <f>SUM(X5:X122)</f>
        <v>2205750690</v>
      </c>
      <c r="Y123" s="932">
        <f t="shared" ref="Y123:AB123" si="221">SUM(Y3:Y120)</f>
        <v>132400000</v>
      </c>
      <c r="Z123" s="932">
        <f t="shared" si="221"/>
        <v>28250000</v>
      </c>
      <c r="AA123" s="931">
        <f t="shared" si="221"/>
        <v>160650000</v>
      </c>
      <c r="AB123" s="933">
        <f t="shared" si="221"/>
        <v>0</v>
      </c>
    </row>
    <row r="124" spans="1:30" s="129" customFormat="1" ht="20.25" hidden="1" customHeight="1">
      <c r="A124" s="1045"/>
      <c r="B124" s="1045"/>
      <c r="C124" s="1045"/>
      <c r="D124" s="1045"/>
      <c r="E124" s="1045"/>
      <c r="F124" s="1045"/>
      <c r="G124" s="1045"/>
      <c r="H124" s="1046"/>
      <c r="I124" s="1046"/>
      <c r="J124" s="1046"/>
      <c r="K124" s="1046"/>
      <c r="L124" s="1046"/>
      <c r="M124" s="1046"/>
      <c r="N124" s="1046"/>
      <c r="O124" s="1046"/>
      <c r="P124" s="1047"/>
      <c r="Q124" s="1047"/>
      <c r="R124" s="1047"/>
      <c r="S124" s="1047"/>
      <c r="T124" s="1047"/>
      <c r="U124" s="1047"/>
      <c r="V124" s="1047"/>
      <c r="W124" s="1048"/>
      <c r="X124" s="1049"/>
      <c r="Y124" s="1050"/>
      <c r="Z124" s="1050"/>
      <c r="AA124" s="1046"/>
      <c r="AB124" s="1051"/>
    </row>
    <row r="125" spans="1:30" s="1055" customFormat="1" ht="86.25" hidden="1" customHeight="1">
      <c r="A125" s="1053"/>
      <c r="B125" s="1053"/>
      <c r="C125" s="1053"/>
      <c r="D125" s="1053"/>
      <c r="E125" s="1053"/>
      <c r="F125" s="1053"/>
      <c r="G125" s="1053"/>
      <c r="H125" s="1054">
        <f>H123+O125</f>
        <v>1844156400</v>
      </c>
      <c r="I125" s="1054"/>
      <c r="J125" s="1054"/>
      <c r="K125" s="1054"/>
      <c r="L125" s="1054"/>
      <c r="M125" s="1054"/>
      <c r="N125" s="1054"/>
      <c r="O125" s="1054">
        <f>O123-M123</f>
        <v>444112400</v>
      </c>
      <c r="P125" s="1052"/>
      <c r="Q125" s="1052"/>
      <c r="R125" s="1052"/>
      <c r="S125" s="1052"/>
      <c r="T125" s="1052"/>
      <c r="U125" s="1052"/>
      <c r="V125" s="1052"/>
      <c r="W125" s="1052"/>
      <c r="X125" s="1052">
        <f>X123-W123</f>
        <v>1871399850</v>
      </c>
      <c r="Y125" s="1054"/>
      <c r="Z125" s="1054"/>
      <c r="AA125" s="1054"/>
      <c r="AB125" s="1052"/>
      <c r="AD125" s="1058">
        <f>X123-M123</f>
        <v>2178507240</v>
      </c>
    </row>
    <row r="126" spans="1:30" s="13" customFormat="1" ht="28.5" customHeight="1">
      <c r="A126" s="1413" t="s">
        <v>1069</v>
      </c>
      <c r="B126" s="1413"/>
      <c r="C126" s="1413"/>
      <c r="D126" s="1413"/>
      <c r="E126" s="1413"/>
      <c r="F126" s="1413"/>
      <c r="G126" s="1413"/>
      <c r="H126" s="1413"/>
      <c r="I126" s="1413"/>
      <c r="J126" s="1413"/>
      <c r="K126" s="1413"/>
      <c r="L126" s="1413"/>
      <c r="M126" s="1413"/>
      <c r="N126" s="1413"/>
      <c r="O126" s="1413"/>
      <c r="P126" s="1413"/>
      <c r="Q126" s="1413"/>
      <c r="R126" s="1413"/>
      <c r="S126" s="1413"/>
      <c r="T126" s="1413"/>
      <c r="U126" s="1413"/>
      <c r="V126" s="1413"/>
      <c r="W126" s="1413"/>
      <c r="X126" s="1413"/>
      <c r="Y126" s="1413"/>
      <c r="Z126" s="1413"/>
      <c r="AA126" s="1413"/>
      <c r="AB126" s="1413"/>
      <c r="AD126" s="1059">
        <f>AD125*70%</f>
        <v>1524955068</v>
      </c>
    </row>
    <row r="127" spans="1:30" s="13" customFormat="1" ht="16.5" customHeight="1">
      <c r="A127" s="1408" t="s">
        <v>1073</v>
      </c>
      <c r="B127" s="1409"/>
      <c r="C127" s="1409"/>
      <c r="D127" s="1206"/>
      <c r="E127" s="1206"/>
      <c r="F127" s="1122"/>
      <c r="G127" s="1122"/>
      <c r="H127" s="30"/>
      <c r="I127" s="30"/>
      <c r="J127" s="30"/>
      <c r="K127" s="30"/>
      <c r="L127" s="30"/>
      <c r="M127" s="30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  <c r="AA127" s="30"/>
      <c r="AB127" s="30"/>
    </row>
    <row r="128" spans="1:30" s="13" customFormat="1" ht="20.25" customHeight="1">
      <c r="A128" s="1424" t="s">
        <v>47</v>
      </c>
      <c r="B128" s="1424" t="s">
        <v>48</v>
      </c>
      <c r="C128" s="1424" t="s">
        <v>73</v>
      </c>
      <c r="D128" s="1424" t="s">
        <v>179</v>
      </c>
      <c r="E128" s="998"/>
      <c r="F128" s="1424" t="s">
        <v>49</v>
      </c>
      <c r="G128" s="1426" t="s">
        <v>173</v>
      </c>
      <c r="H128" s="1426" t="s">
        <v>75</v>
      </c>
      <c r="I128" s="1428" t="s">
        <v>63</v>
      </c>
      <c r="J128" s="1429"/>
      <c r="K128" s="1429"/>
      <c r="L128" s="1429"/>
      <c r="M128" s="1429"/>
      <c r="N128" s="1429"/>
      <c r="O128" s="1430"/>
      <c r="P128" s="1431" t="s">
        <v>54</v>
      </c>
      <c r="Q128" s="1431" t="s">
        <v>168</v>
      </c>
      <c r="R128" s="1431" t="s">
        <v>169</v>
      </c>
      <c r="S128" s="1431" t="s">
        <v>172</v>
      </c>
      <c r="T128" s="1431" t="s">
        <v>170</v>
      </c>
      <c r="U128" s="1431" t="s">
        <v>171</v>
      </c>
      <c r="V128" s="1431" t="s">
        <v>283</v>
      </c>
      <c r="W128" s="1431" t="s">
        <v>180</v>
      </c>
      <c r="X128" s="1426" t="s">
        <v>72</v>
      </c>
      <c r="Y128" s="1428" t="s">
        <v>69</v>
      </c>
      <c r="Z128" s="1429"/>
      <c r="AA128" s="1430"/>
      <c r="AB128" s="1426" t="s">
        <v>50</v>
      </c>
    </row>
    <row r="129" spans="1:28" s="13" customFormat="1" ht="30" customHeight="1">
      <c r="A129" s="1425"/>
      <c r="B129" s="1425"/>
      <c r="C129" s="1425"/>
      <c r="D129" s="1425"/>
      <c r="E129" s="999"/>
      <c r="F129" s="1425"/>
      <c r="G129" s="1427"/>
      <c r="H129" s="1427"/>
      <c r="I129" s="17" t="s">
        <v>515</v>
      </c>
      <c r="J129" s="17" t="s">
        <v>165</v>
      </c>
      <c r="K129" s="17" t="s">
        <v>178</v>
      </c>
      <c r="L129" s="17" t="s">
        <v>166</v>
      </c>
      <c r="M129" s="18" t="s">
        <v>167</v>
      </c>
      <c r="N129" s="18" t="s">
        <v>284</v>
      </c>
      <c r="O129" s="17" t="s">
        <v>64</v>
      </c>
      <c r="P129" s="1432"/>
      <c r="Q129" s="1432"/>
      <c r="R129" s="1432"/>
      <c r="S129" s="1432"/>
      <c r="T129" s="1432"/>
      <c r="U129" s="1432"/>
      <c r="V129" s="1432"/>
      <c r="W129" s="1432"/>
      <c r="X129" s="1427"/>
      <c r="Y129" s="50" t="s">
        <v>281</v>
      </c>
      <c r="Z129" s="50" t="s">
        <v>282</v>
      </c>
      <c r="AA129" s="1000" t="s">
        <v>70</v>
      </c>
      <c r="AB129" s="1427"/>
    </row>
    <row r="130" spans="1:28" s="13" customFormat="1" ht="24" customHeight="1">
      <c r="A130" s="1434">
        <v>1</v>
      </c>
      <c r="B130" s="1436" t="s">
        <v>210</v>
      </c>
      <c r="C130" s="1436" t="s">
        <v>364</v>
      </c>
      <c r="D130" s="1436">
        <v>2</v>
      </c>
      <c r="E130" s="47">
        <v>1</v>
      </c>
      <c r="F130" s="20" t="s">
        <v>229</v>
      </c>
      <c r="G130" s="980">
        <v>2175000</v>
      </c>
      <c r="H130" s="981">
        <f>G130*E130</f>
        <v>2175000</v>
      </c>
      <c r="I130" s="982">
        <f>G130*60%</f>
        <v>1305000</v>
      </c>
      <c r="J130" s="983"/>
      <c r="K130" s="984">
        <f>ROUND(G130*1/209*1.5,-1)</f>
        <v>15610</v>
      </c>
      <c r="L130" s="985">
        <f>(K130*40)*E130</f>
        <v>624400</v>
      </c>
      <c r="M130" s="985"/>
      <c r="N130" s="985"/>
      <c r="O130" s="986">
        <f>SUM(I130,J130,L130,M130,N130)</f>
        <v>1929400</v>
      </c>
      <c r="P130" s="970">
        <f t="shared" ref="P130:P135" si="222">ROUNDUP((H130+I130+J130+L130+M130+N130)*1/12,-1)</f>
        <v>342040</v>
      </c>
      <c r="Q130" s="987">
        <f t="shared" ref="Q130:Q134" si="223">ROUND((H130+O130)*4.5%,-1)</f>
        <v>184700</v>
      </c>
      <c r="R130" s="987">
        <f>ROUNDUP((H130+O130)*3.335%,-1)</f>
        <v>136890</v>
      </c>
      <c r="S130" s="987">
        <f t="shared" ref="S130:S135" si="224">ROUNDUP(R130*10.25%,-1)</f>
        <v>14040</v>
      </c>
      <c r="T130" s="987">
        <f t="shared" ref="T130:T135" si="225">ROUND((H130+O130)*1.05%,-1)</f>
        <v>43100</v>
      </c>
      <c r="U130" s="987">
        <f t="shared" ref="U130:U135" si="226">ROUND((H130+O130)*0.8%,-1)</f>
        <v>32840</v>
      </c>
      <c r="V130" s="985">
        <f t="shared" ref="V130:V135" si="227">SUM(Q130:U130)</f>
        <v>411570</v>
      </c>
      <c r="W130" s="988">
        <f t="shared" ref="W130:W135" si="228">SUM(P130,V130)</f>
        <v>753610</v>
      </c>
      <c r="X130" s="1438">
        <f>SUM(W130,W131,O130,O131,H130,H131)</f>
        <v>44000680</v>
      </c>
      <c r="Y130" s="989">
        <f>250000*12</f>
        <v>3000000</v>
      </c>
      <c r="Z130" s="989">
        <f>50000*12</f>
        <v>600000</v>
      </c>
      <c r="AA130" s="989">
        <f>Z130+Y130</f>
        <v>3600000</v>
      </c>
      <c r="AB130" s="1434"/>
    </row>
    <row r="131" spans="1:28" s="13" customFormat="1" ht="24" customHeight="1">
      <c r="A131" s="1435"/>
      <c r="B131" s="1437"/>
      <c r="C131" s="1437"/>
      <c r="D131" s="1437"/>
      <c r="E131" s="48">
        <v>11</v>
      </c>
      <c r="F131" s="20" t="s">
        <v>215</v>
      </c>
      <c r="G131" s="980">
        <v>2241000</v>
      </c>
      <c r="H131" s="981">
        <f>G131*E131</f>
        <v>24651000</v>
      </c>
      <c r="I131" s="982">
        <f>G131*60%</f>
        <v>1344600</v>
      </c>
      <c r="J131" s="983"/>
      <c r="K131" s="990">
        <f>ROUND(G131*1/209*1.5,-1)</f>
        <v>16080</v>
      </c>
      <c r="L131" s="985">
        <f>(K131*40)*E131</f>
        <v>7075200</v>
      </c>
      <c r="M131" s="985"/>
      <c r="N131" s="985"/>
      <c r="O131" s="986">
        <f>SUM(I131,J131,L131,M131,N131)</f>
        <v>8419800</v>
      </c>
      <c r="P131" s="970">
        <f t="shared" si="222"/>
        <v>2755900</v>
      </c>
      <c r="Q131" s="987">
        <f t="shared" si="223"/>
        <v>1488190</v>
      </c>
      <c r="R131" s="987">
        <f t="shared" ref="R131:R135" si="229">ROUNDUP((H131+O131)*3.335%,-1)</f>
        <v>1102920</v>
      </c>
      <c r="S131" s="987">
        <f t="shared" si="224"/>
        <v>113050</v>
      </c>
      <c r="T131" s="987">
        <f t="shared" si="225"/>
        <v>347240</v>
      </c>
      <c r="U131" s="987">
        <f t="shared" si="226"/>
        <v>264570</v>
      </c>
      <c r="V131" s="985">
        <f t="shared" si="227"/>
        <v>3315970</v>
      </c>
      <c r="W131" s="988">
        <f t="shared" si="228"/>
        <v>6071870</v>
      </c>
      <c r="X131" s="1439"/>
      <c r="Y131" s="992"/>
      <c r="Z131" s="992"/>
      <c r="AA131" s="992"/>
      <c r="AB131" s="1435"/>
    </row>
    <row r="132" spans="1:28" s="13" customFormat="1" ht="24" customHeight="1">
      <c r="A132" s="1434">
        <v>2</v>
      </c>
      <c r="B132" s="1436" t="s">
        <v>252</v>
      </c>
      <c r="C132" s="1436" t="s">
        <v>365</v>
      </c>
      <c r="D132" s="1436">
        <v>3</v>
      </c>
      <c r="E132" s="47">
        <v>2</v>
      </c>
      <c r="F132" s="20" t="s">
        <v>200</v>
      </c>
      <c r="G132" s="980">
        <v>1967000</v>
      </c>
      <c r="H132" s="981">
        <f t="shared" ref="H132:H135" si="230">G132*E132</f>
        <v>3934000</v>
      </c>
      <c r="I132" s="982">
        <f t="shared" ref="I132:I135" si="231">G132*60%</f>
        <v>1180200</v>
      </c>
      <c r="J132" s="983">
        <f>40000*12</f>
        <v>480000</v>
      </c>
      <c r="K132" s="984">
        <f t="shared" ref="K132:K135" si="232">ROUND(G132*1/209*1.5,-1)</f>
        <v>14120</v>
      </c>
      <c r="L132" s="985">
        <f>(K132*40)*E132</f>
        <v>1129600</v>
      </c>
      <c r="M132" s="985"/>
      <c r="N132" s="985"/>
      <c r="O132" s="986">
        <f t="shared" ref="O132:O134" si="233">SUM(I132,J132,L132,M132,N132)</f>
        <v>2789800</v>
      </c>
      <c r="P132" s="970">
        <f t="shared" si="222"/>
        <v>560320</v>
      </c>
      <c r="Q132" s="987">
        <f t="shared" si="223"/>
        <v>302570</v>
      </c>
      <c r="R132" s="987">
        <f t="shared" si="229"/>
        <v>224240</v>
      </c>
      <c r="S132" s="987">
        <f t="shared" si="224"/>
        <v>22990</v>
      </c>
      <c r="T132" s="987">
        <f t="shared" si="225"/>
        <v>70600</v>
      </c>
      <c r="U132" s="987">
        <f t="shared" si="226"/>
        <v>53790</v>
      </c>
      <c r="V132" s="985">
        <f t="shared" si="227"/>
        <v>674190</v>
      </c>
      <c r="W132" s="988">
        <f t="shared" si="228"/>
        <v>1234510</v>
      </c>
      <c r="X132" s="1438">
        <f>SUM(W132,W133,O132,O133,H132,H133)</f>
        <v>39973330</v>
      </c>
      <c r="Y132" s="989">
        <f>200000*2</f>
        <v>400000</v>
      </c>
      <c r="Z132" s="989">
        <f t="shared" ref="Z132" si="234">50000*12</f>
        <v>600000</v>
      </c>
      <c r="AA132" s="989">
        <f t="shared" ref="AA132" si="235">Z132+Y132</f>
        <v>1000000</v>
      </c>
      <c r="AB132" s="1434"/>
    </row>
    <row r="133" spans="1:28" s="13" customFormat="1" ht="24" customHeight="1">
      <c r="A133" s="1435"/>
      <c r="B133" s="1437"/>
      <c r="C133" s="1437"/>
      <c r="D133" s="1437"/>
      <c r="E133" s="48">
        <v>10</v>
      </c>
      <c r="F133" s="20" t="s">
        <v>201</v>
      </c>
      <c r="G133" s="980">
        <v>2008000</v>
      </c>
      <c r="H133" s="981">
        <f t="shared" si="230"/>
        <v>20080000</v>
      </c>
      <c r="I133" s="982">
        <f t="shared" si="231"/>
        <v>1204800</v>
      </c>
      <c r="J133" s="983"/>
      <c r="K133" s="990">
        <f t="shared" si="232"/>
        <v>14410</v>
      </c>
      <c r="L133" s="985">
        <f>(K133*40)*E133</f>
        <v>5764000</v>
      </c>
      <c r="M133" s="985"/>
      <c r="N133" s="985"/>
      <c r="O133" s="986">
        <f t="shared" si="233"/>
        <v>6968800</v>
      </c>
      <c r="P133" s="970">
        <f t="shared" si="222"/>
        <v>2254070</v>
      </c>
      <c r="Q133" s="987">
        <f t="shared" si="223"/>
        <v>1217200</v>
      </c>
      <c r="R133" s="987">
        <f t="shared" si="229"/>
        <v>902080</v>
      </c>
      <c r="S133" s="987">
        <f t="shared" si="224"/>
        <v>92470</v>
      </c>
      <c r="T133" s="987">
        <f t="shared" si="225"/>
        <v>284010</v>
      </c>
      <c r="U133" s="987">
        <f t="shared" si="226"/>
        <v>216390</v>
      </c>
      <c r="V133" s="985">
        <f t="shared" si="227"/>
        <v>2712150</v>
      </c>
      <c r="W133" s="988">
        <f t="shared" si="228"/>
        <v>4966220</v>
      </c>
      <c r="X133" s="1439"/>
      <c r="Y133" s="992">
        <f>250000*10</f>
        <v>2500000</v>
      </c>
      <c r="Z133" s="992"/>
      <c r="AA133" s="992"/>
      <c r="AB133" s="1435"/>
    </row>
    <row r="134" spans="1:28" s="13" customFormat="1" ht="24" customHeight="1">
      <c r="A134" s="1434">
        <v>3</v>
      </c>
      <c r="B134" s="1446" t="s">
        <v>363</v>
      </c>
      <c r="C134" s="1436" t="s">
        <v>366</v>
      </c>
      <c r="D134" s="1436">
        <v>9</v>
      </c>
      <c r="E134" s="47">
        <v>8</v>
      </c>
      <c r="F134" s="20" t="s">
        <v>197</v>
      </c>
      <c r="G134" s="980">
        <v>2493000</v>
      </c>
      <c r="H134" s="981">
        <f t="shared" si="230"/>
        <v>19944000</v>
      </c>
      <c r="I134" s="982">
        <f t="shared" si="231"/>
        <v>1495800</v>
      </c>
      <c r="J134" s="983">
        <f>60000*12</f>
        <v>720000</v>
      </c>
      <c r="K134" s="984">
        <f t="shared" si="232"/>
        <v>17890</v>
      </c>
      <c r="L134" s="985">
        <f t="shared" ref="L134:L135" si="236">(K134*20)*E134</f>
        <v>2862400</v>
      </c>
      <c r="M134" s="985">
        <f>(K134*5)*E134</f>
        <v>715600</v>
      </c>
      <c r="N134" s="985"/>
      <c r="O134" s="986">
        <f t="shared" si="233"/>
        <v>5793800</v>
      </c>
      <c r="P134" s="970">
        <f t="shared" si="222"/>
        <v>2144820</v>
      </c>
      <c r="Q134" s="987">
        <f t="shared" si="223"/>
        <v>1158200</v>
      </c>
      <c r="R134" s="987">
        <f t="shared" si="229"/>
        <v>858360</v>
      </c>
      <c r="S134" s="987">
        <f t="shared" si="224"/>
        <v>87990</v>
      </c>
      <c r="T134" s="987">
        <f t="shared" si="225"/>
        <v>270250</v>
      </c>
      <c r="U134" s="987">
        <f t="shared" si="226"/>
        <v>205900</v>
      </c>
      <c r="V134" s="985">
        <f t="shared" si="227"/>
        <v>2580700</v>
      </c>
      <c r="W134" s="988">
        <f t="shared" si="228"/>
        <v>4725520</v>
      </c>
      <c r="X134" s="1438">
        <f>SUM(W134,W135,O134,O135,H134,H135)</f>
        <v>46563640</v>
      </c>
      <c r="Y134" s="989">
        <f t="shared" ref="Y134" si="237">250000*12</f>
        <v>3000000</v>
      </c>
      <c r="Z134" s="989">
        <f t="shared" ref="Z134" si="238">50000*12</f>
        <v>600000</v>
      </c>
      <c r="AA134" s="989">
        <f t="shared" ref="AA134" si="239">Z134+Y134</f>
        <v>3600000</v>
      </c>
      <c r="AB134" s="1434"/>
    </row>
    <row r="135" spans="1:28" s="13" customFormat="1" ht="24" customHeight="1">
      <c r="A135" s="1435"/>
      <c r="B135" s="1437"/>
      <c r="C135" s="1437"/>
      <c r="D135" s="1437"/>
      <c r="E135" s="48">
        <v>4</v>
      </c>
      <c r="F135" s="20" t="s">
        <v>163</v>
      </c>
      <c r="G135" s="980">
        <v>2558000</v>
      </c>
      <c r="H135" s="981">
        <f t="shared" si="230"/>
        <v>10232000</v>
      </c>
      <c r="I135" s="982">
        <f t="shared" si="231"/>
        <v>1534800</v>
      </c>
      <c r="J135" s="983"/>
      <c r="K135" s="990">
        <f t="shared" si="232"/>
        <v>18360</v>
      </c>
      <c r="L135" s="985">
        <f t="shared" si="236"/>
        <v>1468800</v>
      </c>
      <c r="M135" s="985">
        <f>(K135*5)*E135</f>
        <v>367200</v>
      </c>
      <c r="N135" s="985"/>
      <c r="O135" s="986">
        <f>SUM(I135,J135,L135,M135,N135)</f>
        <v>3370800</v>
      </c>
      <c r="P135" s="970">
        <f t="shared" si="222"/>
        <v>1133570</v>
      </c>
      <c r="Q135" s="987">
        <f>ROUND((H135+O135)*4.5%,-1)</f>
        <v>612130</v>
      </c>
      <c r="R135" s="987">
        <f t="shared" si="229"/>
        <v>453660</v>
      </c>
      <c r="S135" s="987">
        <f t="shared" si="224"/>
        <v>46510</v>
      </c>
      <c r="T135" s="987">
        <f t="shared" si="225"/>
        <v>142830</v>
      </c>
      <c r="U135" s="987">
        <f t="shared" si="226"/>
        <v>108820</v>
      </c>
      <c r="V135" s="985">
        <f t="shared" si="227"/>
        <v>1363950</v>
      </c>
      <c r="W135" s="988">
        <f t="shared" si="228"/>
        <v>2497520</v>
      </c>
      <c r="X135" s="1439"/>
      <c r="Y135" s="992"/>
      <c r="Z135" s="992"/>
      <c r="AA135" s="992"/>
      <c r="AB135" s="1435"/>
    </row>
    <row r="136" spans="1:28" s="127" customFormat="1" ht="35.1" customHeight="1">
      <c r="A136" s="1410" t="s">
        <v>383</v>
      </c>
      <c r="B136" s="1411"/>
      <c r="C136" s="1411"/>
      <c r="D136" s="1411"/>
      <c r="E136" s="1411"/>
      <c r="F136" s="1411"/>
      <c r="G136" s="1412"/>
      <c r="H136" s="128">
        <f>SUM(H130:H135)</f>
        <v>81016000</v>
      </c>
      <c r="I136" s="993">
        <f>SUM(I130:I135)</f>
        <v>8065200</v>
      </c>
      <c r="J136" s="993">
        <f t="shared" ref="J136:M136" si="240">SUM(J130:J135)</f>
        <v>1200000</v>
      </c>
      <c r="K136" s="993"/>
      <c r="L136" s="993">
        <f t="shared" si="240"/>
        <v>18924400</v>
      </c>
      <c r="M136" s="993">
        <f t="shared" si="240"/>
        <v>1082800</v>
      </c>
      <c r="N136" s="993"/>
      <c r="O136" s="994">
        <f>SUM(O130:O135)</f>
        <v>29272400</v>
      </c>
      <c r="P136" s="993">
        <f>SUM(P130:P135)</f>
        <v>9190720</v>
      </c>
      <c r="Q136" s="993">
        <f t="shared" ref="Q136:U136" si="241">SUM(Q130:Q135)</f>
        <v>4962990</v>
      </c>
      <c r="R136" s="993">
        <f t="shared" si="241"/>
        <v>3678150</v>
      </c>
      <c r="S136" s="993">
        <f t="shared" si="241"/>
        <v>377050</v>
      </c>
      <c r="T136" s="993">
        <f t="shared" si="241"/>
        <v>1158030</v>
      </c>
      <c r="U136" s="993">
        <f t="shared" si="241"/>
        <v>882310</v>
      </c>
      <c r="V136" s="993">
        <f>SUM(V130:V135)</f>
        <v>11058530</v>
      </c>
      <c r="W136" s="994">
        <f>SUM(W130:W135)</f>
        <v>20249250</v>
      </c>
      <c r="X136" s="995">
        <f>SUM(X130:X135)</f>
        <v>130537650</v>
      </c>
      <c r="Y136" s="993">
        <f>SUM(Y130:Y135)</f>
        <v>8900000</v>
      </c>
      <c r="Z136" s="993">
        <f t="shared" ref="Z136:AA136" si="242">SUM(Z130:Z135)</f>
        <v>1800000</v>
      </c>
      <c r="AA136" s="993">
        <f t="shared" si="242"/>
        <v>8200000</v>
      </c>
      <c r="AB136" s="126"/>
    </row>
    <row r="137" spans="1:28" s="13" customFormat="1" ht="35.1" customHeight="1">
      <c r="A137" s="1445" t="s">
        <v>367</v>
      </c>
      <c r="B137" s="1445"/>
      <c r="C137" s="1445"/>
      <c r="D137" s="1445"/>
      <c r="E137" s="1445"/>
      <c r="F137" s="1445"/>
      <c r="G137" s="1445"/>
      <c r="H137" s="1445"/>
      <c r="I137" s="1445"/>
      <c r="J137" s="1445"/>
      <c r="K137" s="1445"/>
      <c r="L137" s="1445"/>
      <c r="M137" s="1445"/>
      <c r="N137" s="1445"/>
      <c r="O137" s="1445"/>
      <c r="P137" s="1445"/>
      <c r="Q137" s="1445"/>
      <c r="R137" s="1445"/>
      <c r="S137" s="1445"/>
      <c r="T137" s="1445"/>
      <c r="U137" s="1445"/>
      <c r="V137" s="1445"/>
      <c r="W137" s="1445"/>
      <c r="X137" s="1445"/>
      <c r="Y137" s="997">
        <f>X136-W136</f>
        <v>110288400</v>
      </c>
      <c r="Z137" s="997"/>
      <c r="AA137" s="997"/>
      <c r="AB137" s="16"/>
    </row>
    <row r="139" spans="1:28" hidden="1">
      <c r="H139" s="1059">
        <f>H136+O139</f>
        <v>109205600</v>
      </c>
      <c r="O139" s="1059">
        <f>O136-M136</f>
        <v>28189600</v>
      </c>
    </row>
    <row r="140" spans="1:28" hidden="1"/>
    <row r="141" spans="1:28" s="13" customFormat="1" ht="17.25">
      <c r="A141" s="1413" t="s">
        <v>1070</v>
      </c>
      <c r="B141" s="1413"/>
      <c r="C141" s="1413"/>
      <c r="D141" s="1413"/>
      <c r="E141" s="1413"/>
      <c r="F141" s="1413"/>
      <c r="G141" s="1413"/>
      <c r="H141" s="1413"/>
      <c r="I141" s="1413"/>
      <c r="J141" s="1413"/>
      <c r="K141" s="1413"/>
      <c r="L141" s="1413"/>
      <c r="M141" s="1413"/>
      <c r="N141" s="1413"/>
      <c r="O141" s="1413"/>
      <c r="P141" s="1413"/>
      <c r="Q141" s="1413"/>
      <c r="R141" s="1413"/>
      <c r="S141" s="1413"/>
      <c r="T141" s="1413"/>
      <c r="U141" s="1413"/>
      <c r="V141" s="1413"/>
      <c r="W141" s="1413"/>
      <c r="X141" s="1413"/>
      <c r="Y141" s="1413"/>
      <c r="Z141" s="1413"/>
      <c r="AA141" s="1413"/>
      <c r="AB141" s="1413"/>
    </row>
    <row r="142" spans="1:28" s="13" customFormat="1" ht="16.5" customHeight="1">
      <c r="A142" s="1408" t="s">
        <v>1074</v>
      </c>
      <c r="B142" s="1409"/>
      <c r="C142" s="1409"/>
      <c r="D142" s="1409"/>
      <c r="E142" s="1207"/>
      <c r="F142" s="1207"/>
      <c r="G142" s="44"/>
      <c r="H142" s="30"/>
      <c r="I142" s="30"/>
      <c r="J142" s="30"/>
      <c r="K142" s="30"/>
      <c r="L142" s="30"/>
      <c r="M142" s="30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  <c r="AA142" s="30"/>
      <c r="AB142" s="30"/>
    </row>
    <row r="143" spans="1:28" s="13" customFormat="1" ht="20.25" customHeight="1">
      <c r="A143" s="1424" t="s">
        <v>47</v>
      </c>
      <c r="B143" s="1424" t="s">
        <v>48</v>
      </c>
      <c r="C143" s="1424" t="s">
        <v>73</v>
      </c>
      <c r="D143" s="1424" t="s">
        <v>179</v>
      </c>
      <c r="E143" s="998"/>
      <c r="F143" s="1424" t="s">
        <v>49</v>
      </c>
      <c r="G143" s="1426" t="s">
        <v>173</v>
      </c>
      <c r="H143" s="1426" t="s">
        <v>75</v>
      </c>
      <c r="I143" s="1428" t="s">
        <v>63</v>
      </c>
      <c r="J143" s="1429"/>
      <c r="K143" s="1429"/>
      <c r="L143" s="1429"/>
      <c r="M143" s="1429"/>
      <c r="N143" s="1429"/>
      <c r="O143" s="1430"/>
      <c r="P143" s="1431" t="s">
        <v>54</v>
      </c>
      <c r="Q143" s="1431" t="s">
        <v>168</v>
      </c>
      <c r="R143" s="1431" t="s">
        <v>169</v>
      </c>
      <c r="S143" s="1431" t="s">
        <v>172</v>
      </c>
      <c r="T143" s="1431" t="s">
        <v>170</v>
      </c>
      <c r="U143" s="1431" t="s">
        <v>171</v>
      </c>
      <c r="V143" s="1431" t="s">
        <v>283</v>
      </c>
      <c r="W143" s="1431" t="s">
        <v>180</v>
      </c>
      <c r="X143" s="1426" t="s">
        <v>72</v>
      </c>
      <c r="Y143" s="1428" t="s">
        <v>69</v>
      </c>
      <c r="Z143" s="1429"/>
      <c r="AA143" s="1430"/>
      <c r="AB143" s="1426" t="s">
        <v>50</v>
      </c>
    </row>
    <row r="144" spans="1:28" s="13" customFormat="1" ht="30" customHeight="1">
      <c r="A144" s="1425"/>
      <c r="B144" s="1425"/>
      <c r="C144" s="1425"/>
      <c r="D144" s="1425"/>
      <c r="E144" s="999"/>
      <c r="F144" s="1425"/>
      <c r="G144" s="1427"/>
      <c r="H144" s="1427"/>
      <c r="I144" s="17" t="s">
        <v>515</v>
      </c>
      <c r="J144" s="17" t="s">
        <v>165</v>
      </c>
      <c r="K144" s="17" t="s">
        <v>178</v>
      </c>
      <c r="L144" s="17" t="s">
        <v>166</v>
      </c>
      <c r="M144" s="18" t="s">
        <v>167</v>
      </c>
      <c r="N144" s="18" t="s">
        <v>284</v>
      </c>
      <c r="O144" s="17" t="s">
        <v>64</v>
      </c>
      <c r="P144" s="1432"/>
      <c r="Q144" s="1432"/>
      <c r="R144" s="1432"/>
      <c r="S144" s="1432"/>
      <c r="T144" s="1432"/>
      <c r="U144" s="1432"/>
      <c r="V144" s="1432"/>
      <c r="W144" s="1432"/>
      <c r="X144" s="1427"/>
      <c r="Y144" s="50" t="s">
        <v>281</v>
      </c>
      <c r="Z144" s="50" t="s">
        <v>282</v>
      </c>
      <c r="AA144" s="1000" t="s">
        <v>70</v>
      </c>
      <c r="AB144" s="1427"/>
    </row>
    <row r="145" spans="1:28" s="13" customFormat="1" ht="24" customHeight="1">
      <c r="A145" s="1434">
        <v>1</v>
      </c>
      <c r="B145" s="1436" t="s">
        <v>210</v>
      </c>
      <c r="C145" s="1436" t="s">
        <v>276</v>
      </c>
      <c r="D145" s="1436">
        <v>8</v>
      </c>
      <c r="E145" s="47">
        <v>3</v>
      </c>
      <c r="F145" s="937" t="s">
        <v>258</v>
      </c>
      <c r="G145" s="938">
        <v>1821000</v>
      </c>
      <c r="H145" s="939">
        <f>G145*E145</f>
        <v>5463000</v>
      </c>
      <c r="I145" s="940"/>
      <c r="J145" s="941"/>
      <c r="K145" s="942">
        <f>ROUND(G145*1/209*1.5,-1)</f>
        <v>13070</v>
      </c>
      <c r="L145" s="943">
        <f>(K145*40)*E145</f>
        <v>1568400</v>
      </c>
      <c r="M145" s="943"/>
      <c r="N145" s="943"/>
      <c r="O145" s="944">
        <f>SUM(I145,J145,L145,M145,N145)</f>
        <v>1568400</v>
      </c>
      <c r="P145" s="970">
        <f t="shared" ref="P145:P168" si="243">ROUNDUP((H145+I145+J145+L145+M145+N145)*1/12,-1)</f>
        <v>585950</v>
      </c>
      <c r="Q145" s="945">
        <f>ROUND((H145+O145)*4.5%,-1)</f>
        <v>316410</v>
      </c>
      <c r="R145" s="945">
        <f t="shared" ref="R145:R168" si="244">ROUNDUP((H145+O145)*3.335%,-1)</f>
        <v>234500</v>
      </c>
      <c r="S145" s="945">
        <f t="shared" ref="S145:S168" si="245">ROUNDUP(R145*10.25%,-1)</f>
        <v>24040</v>
      </c>
      <c r="T145" s="945">
        <f t="shared" ref="T145:T168" si="246">ROUND((H145+O145)*1.05%,-1)</f>
        <v>73830</v>
      </c>
      <c r="U145" s="945">
        <f t="shared" ref="U145:U168" si="247">ROUND((H145+O145)*0.8%,-1)</f>
        <v>56250</v>
      </c>
      <c r="V145" s="943">
        <f t="shared" ref="V145:V168" si="248">SUM(Q145:U145)</f>
        <v>705030</v>
      </c>
      <c r="W145" s="946">
        <f t="shared" ref="W145:W168" si="249">SUM(P145,V145)</f>
        <v>1290980</v>
      </c>
      <c r="X145" s="1440">
        <f>SUM(W145,W146,O145,O146,H145,H146)</f>
        <v>23918480</v>
      </c>
      <c r="Y145" s="947">
        <f>200000*12</f>
        <v>2400000</v>
      </c>
      <c r="Z145" s="947">
        <f>50000*12</f>
        <v>600000</v>
      </c>
      <c r="AA145" s="947">
        <f>Z145+Y145</f>
        <v>3000000</v>
      </c>
      <c r="AB145" s="1434"/>
    </row>
    <row r="146" spans="1:28" s="13" customFormat="1" ht="24" customHeight="1">
      <c r="A146" s="1435"/>
      <c r="B146" s="1437"/>
      <c r="C146" s="1437"/>
      <c r="D146" s="1437"/>
      <c r="E146" s="48">
        <v>5</v>
      </c>
      <c r="F146" s="937" t="s">
        <v>238</v>
      </c>
      <c r="G146" s="938">
        <v>1873000</v>
      </c>
      <c r="H146" s="939">
        <f>G146*E146</f>
        <v>9365000</v>
      </c>
      <c r="I146" s="940">
        <f>G146*60%</f>
        <v>1123800</v>
      </c>
      <c r="J146" s="941"/>
      <c r="K146" s="948">
        <f>ROUND(G146*1/209*1.5,-1)</f>
        <v>13440</v>
      </c>
      <c r="L146" s="943">
        <f>(K146*40)*E146</f>
        <v>2688000</v>
      </c>
      <c r="M146" s="943"/>
      <c r="N146" s="943"/>
      <c r="O146" s="944">
        <f>SUM(I146,J146,L146,M146,N146)</f>
        <v>3811800</v>
      </c>
      <c r="P146" s="970">
        <f t="shared" si="243"/>
        <v>1098070</v>
      </c>
      <c r="Q146" s="945">
        <f>ROUND((H146+O146)*4.5%,-1)</f>
        <v>592960</v>
      </c>
      <c r="R146" s="945">
        <f t="shared" si="244"/>
        <v>439450</v>
      </c>
      <c r="S146" s="945">
        <f t="shared" si="245"/>
        <v>45050</v>
      </c>
      <c r="T146" s="945">
        <f t="shared" si="246"/>
        <v>138360</v>
      </c>
      <c r="U146" s="945">
        <f t="shared" si="247"/>
        <v>105410</v>
      </c>
      <c r="V146" s="943">
        <f t="shared" si="248"/>
        <v>1321230</v>
      </c>
      <c r="W146" s="946">
        <f t="shared" si="249"/>
        <v>2419300</v>
      </c>
      <c r="X146" s="1441"/>
      <c r="Y146" s="949"/>
      <c r="Z146" s="949"/>
      <c r="AA146" s="949"/>
      <c r="AB146" s="1435"/>
    </row>
    <row r="147" spans="1:28" s="13" customFormat="1" ht="24" customHeight="1">
      <c r="A147" s="1434">
        <v>2</v>
      </c>
      <c r="B147" s="1436" t="s">
        <v>210</v>
      </c>
      <c r="C147" s="1436" t="s">
        <v>261</v>
      </c>
      <c r="D147" s="1436">
        <v>1</v>
      </c>
      <c r="E147" s="47">
        <v>12</v>
      </c>
      <c r="F147" s="937" t="s">
        <v>258</v>
      </c>
      <c r="G147" s="938">
        <v>1821000</v>
      </c>
      <c r="H147" s="939">
        <f t="shared" ref="H147:H168" si="250">G147*E147</f>
        <v>21852000</v>
      </c>
      <c r="I147" s="940">
        <f>(G147*60%)*2</f>
        <v>2185200</v>
      </c>
      <c r="J147" s="941"/>
      <c r="K147" s="942">
        <f t="shared" ref="K147:K168" si="251">ROUND(G147*1/209*1.5,-1)</f>
        <v>13070</v>
      </c>
      <c r="L147" s="943">
        <f t="shared" ref="L147:L168" si="252">(K147*40)*E147</f>
        <v>6273600</v>
      </c>
      <c r="M147" s="943"/>
      <c r="N147" s="943"/>
      <c r="O147" s="944">
        <f>SUM(I147,J147,L147,M147,N147)</f>
        <v>8458800</v>
      </c>
      <c r="P147" s="970">
        <f t="shared" si="243"/>
        <v>2525900</v>
      </c>
      <c r="Q147" s="945">
        <f>ROUND((H147+O147)*4.5%,-1)</f>
        <v>1363990</v>
      </c>
      <c r="R147" s="945">
        <f t="shared" si="244"/>
        <v>1010870</v>
      </c>
      <c r="S147" s="945">
        <f t="shared" si="245"/>
        <v>103620</v>
      </c>
      <c r="T147" s="945">
        <f t="shared" si="246"/>
        <v>318260</v>
      </c>
      <c r="U147" s="945">
        <f t="shared" si="247"/>
        <v>242490</v>
      </c>
      <c r="V147" s="943">
        <f t="shared" si="248"/>
        <v>3039230</v>
      </c>
      <c r="W147" s="946">
        <f t="shared" si="249"/>
        <v>5565130</v>
      </c>
      <c r="X147" s="1440">
        <f>SUM(W147,W148,O147,O148,H147,H148)</f>
        <v>35875930</v>
      </c>
      <c r="Y147" s="947">
        <f t="shared" ref="Y147" si="253">200000*12</f>
        <v>2400000</v>
      </c>
      <c r="Z147" s="947">
        <f t="shared" ref="Z147:Z155" si="254">50000*12</f>
        <v>600000</v>
      </c>
      <c r="AA147" s="947">
        <f t="shared" ref="AA147" si="255">Z147+Y147</f>
        <v>3000000</v>
      </c>
      <c r="AB147" s="1434" t="s">
        <v>377</v>
      </c>
    </row>
    <row r="148" spans="1:28" s="13" customFormat="1" ht="24" customHeight="1">
      <c r="A148" s="1435"/>
      <c r="B148" s="1437"/>
      <c r="C148" s="1437"/>
      <c r="D148" s="1437"/>
      <c r="E148" s="48"/>
      <c r="F148" s="937"/>
      <c r="G148" s="938"/>
      <c r="H148" s="939">
        <f t="shared" si="250"/>
        <v>0</v>
      </c>
      <c r="I148" s="940">
        <f t="shared" ref="I148:I168" si="256">G148*60%</f>
        <v>0</v>
      </c>
      <c r="J148" s="941"/>
      <c r="K148" s="948">
        <f t="shared" si="251"/>
        <v>0</v>
      </c>
      <c r="L148" s="943">
        <f t="shared" si="252"/>
        <v>0</v>
      </c>
      <c r="M148" s="943"/>
      <c r="N148" s="943"/>
      <c r="O148" s="944">
        <f t="shared" ref="O148:O168" si="257">SUM(I148,J148,L148,M148,N148)</f>
        <v>0</v>
      </c>
      <c r="P148" s="970">
        <f t="shared" si="243"/>
        <v>0</v>
      </c>
      <c r="Q148" s="945">
        <f t="shared" ref="Q148:Q168" si="258">ROUND((H148+O148)*4.5%,-1)</f>
        <v>0</v>
      </c>
      <c r="R148" s="945">
        <f t="shared" si="244"/>
        <v>0</v>
      </c>
      <c r="S148" s="945">
        <f t="shared" si="245"/>
        <v>0</v>
      </c>
      <c r="T148" s="945">
        <f t="shared" si="246"/>
        <v>0</v>
      </c>
      <c r="U148" s="945">
        <f t="shared" si="247"/>
        <v>0</v>
      </c>
      <c r="V148" s="943">
        <f t="shared" si="248"/>
        <v>0</v>
      </c>
      <c r="W148" s="946">
        <f t="shared" si="249"/>
        <v>0</v>
      </c>
      <c r="X148" s="1441"/>
      <c r="Y148" s="949"/>
      <c r="Z148" s="949"/>
      <c r="AA148" s="949"/>
      <c r="AB148" s="1435"/>
    </row>
    <row r="149" spans="1:28" s="13" customFormat="1" ht="24" customHeight="1">
      <c r="A149" s="1434">
        <v>3</v>
      </c>
      <c r="B149" s="1436" t="s">
        <v>210</v>
      </c>
      <c r="C149" s="1436" t="s">
        <v>368</v>
      </c>
      <c r="D149" s="1436">
        <v>1</v>
      </c>
      <c r="E149" s="47">
        <v>12</v>
      </c>
      <c r="F149" s="937" t="s">
        <v>239</v>
      </c>
      <c r="G149" s="938">
        <v>1929000</v>
      </c>
      <c r="H149" s="939">
        <f t="shared" si="250"/>
        <v>23148000</v>
      </c>
      <c r="I149" s="940">
        <f>(G149*60%)*2</f>
        <v>2314800</v>
      </c>
      <c r="J149" s="941"/>
      <c r="K149" s="942">
        <f t="shared" si="251"/>
        <v>13840</v>
      </c>
      <c r="L149" s="943">
        <f>(K149*40)*E149</f>
        <v>6643200</v>
      </c>
      <c r="M149" s="943"/>
      <c r="N149" s="943"/>
      <c r="O149" s="944">
        <f>SUM(I149,J149,L149,M149,N149)</f>
        <v>8958000</v>
      </c>
      <c r="P149" s="970">
        <f t="shared" si="243"/>
        <v>2675500</v>
      </c>
      <c r="Q149" s="945">
        <f>ROUND((H149+O149)*4.5%,-1)</f>
        <v>1444770</v>
      </c>
      <c r="R149" s="945">
        <f t="shared" si="244"/>
        <v>1070740</v>
      </c>
      <c r="S149" s="945">
        <f t="shared" si="245"/>
        <v>109760</v>
      </c>
      <c r="T149" s="945">
        <f t="shared" si="246"/>
        <v>337110</v>
      </c>
      <c r="U149" s="945">
        <f t="shared" si="247"/>
        <v>256850</v>
      </c>
      <c r="V149" s="943">
        <f t="shared" si="248"/>
        <v>3219230</v>
      </c>
      <c r="W149" s="946">
        <f t="shared" si="249"/>
        <v>5894730</v>
      </c>
      <c r="X149" s="1440">
        <f>SUM(W149,W150,O149,O150,H149,H150)</f>
        <v>38000730</v>
      </c>
      <c r="Y149" s="947">
        <f t="shared" ref="Y149" si="259">200000*12</f>
        <v>2400000</v>
      </c>
      <c r="Z149" s="947">
        <f t="shared" si="254"/>
        <v>600000</v>
      </c>
      <c r="AA149" s="947">
        <f t="shared" ref="AA149" si="260">Z149+Y149</f>
        <v>3000000</v>
      </c>
      <c r="AB149" s="1434" t="s">
        <v>377</v>
      </c>
    </row>
    <row r="150" spans="1:28" s="13" customFormat="1" ht="24" customHeight="1">
      <c r="A150" s="1435"/>
      <c r="B150" s="1437"/>
      <c r="C150" s="1437"/>
      <c r="D150" s="1437"/>
      <c r="E150" s="48"/>
      <c r="F150" s="937"/>
      <c r="G150" s="938"/>
      <c r="H150" s="939">
        <f t="shared" si="250"/>
        <v>0</v>
      </c>
      <c r="I150" s="940">
        <f t="shared" si="256"/>
        <v>0</v>
      </c>
      <c r="J150" s="941"/>
      <c r="K150" s="948">
        <f t="shared" si="251"/>
        <v>0</v>
      </c>
      <c r="L150" s="943">
        <f t="shared" si="252"/>
        <v>0</v>
      </c>
      <c r="M150" s="943"/>
      <c r="N150" s="943"/>
      <c r="O150" s="944">
        <f t="shared" si="257"/>
        <v>0</v>
      </c>
      <c r="P150" s="970">
        <f t="shared" si="243"/>
        <v>0</v>
      </c>
      <c r="Q150" s="945">
        <f t="shared" si="258"/>
        <v>0</v>
      </c>
      <c r="R150" s="945">
        <f t="shared" si="244"/>
        <v>0</v>
      </c>
      <c r="S150" s="945">
        <f t="shared" si="245"/>
        <v>0</v>
      </c>
      <c r="T150" s="945">
        <f t="shared" si="246"/>
        <v>0</v>
      </c>
      <c r="U150" s="945">
        <f t="shared" si="247"/>
        <v>0</v>
      </c>
      <c r="V150" s="943">
        <f t="shared" si="248"/>
        <v>0</v>
      </c>
      <c r="W150" s="946">
        <f t="shared" si="249"/>
        <v>0</v>
      </c>
      <c r="X150" s="1441"/>
      <c r="Y150" s="949"/>
      <c r="Z150" s="949"/>
      <c r="AA150" s="949"/>
      <c r="AB150" s="1435"/>
    </row>
    <row r="151" spans="1:28" s="13" customFormat="1" ht="24" customHeight="1">
      <c r="A151" s="1434">
        <v>4</v>
      </c>
      <c r="B151" s="1436" t="s">
        <v>210</v>
      </c>
      <c r="C151" s="1436" t="s">
        <v>369</v>
      </c>
      <c r="D151" s="1436">
        <v>10</v>
      </c>
      <c r="E151" s="47">
        <v>9</v>
      </c>
      <c r="F151" s="937" t="s">
        <v>238</v>
      </c>
      <c r="G151" s="938">
        <v>1873000</v>
      </c>
      <c r="H151" s="939">
        <f>G151*E151</f>
        <v>16857000</v>
      </c>
      <c r="I151" s="940">
        <f t="shared" si="256"/>
        <v>1123800</v>
      </c>
      <c r="J151" s="941"/>
      <c r="K151" s="942">
        <f t="shared" si="251"/>
        <v>13440</v>
      </c>
      <c r="L151" s="943">
        <f t="shared" si="252"/>
        <v>4838400</v>
      </c>
      <c r="M151" s="943"/>
      <c r="N151" s="943"/>
      <c r="O151" s="944">
        <f t="shared" si="257"/>
        <v>5962200</v>
      </c>
      <c r="P151" s="970">
        <f t="shared" si="243"/>
        <v>1901600</v>
      </c>
      <c r="Q151" s="945">
        <f>ROUND((H151+O151)*4.5%,-1)</f>
        <v>1026860</v>
      </c>
      <c r="R151" s="945">
        <f t="shared" si="244"/>
        <v>761030</v>
      </c>
      <c r="S151" s="945">
        <f t="shared" si="245"/>
        <v>78010</v>
      </c>
      <c r="T151" s="945">
        <f t="shared" si="246"/>
        <v>239600</v>
      </c>
      <c r="U151" s="945">
        <f t="shared" si="247"/>
        <v>182550</v>
      </c>
      <c r="V151" s="943">
        <f t="shared" si="248"/>
        <v>2288050</v>
      </c>
      <c r="W151" s="946">
        <f t="shared" si="249"/>
        <v>4189650</v>
      </c>
      <c r="X151" s="1440">
        <f>SUM(W151,W152,O151,O152,H151,H152)</f>
        <v>37193980</v>
      </c>
      <c r="Y151" s="947">
        <f t="shared" ref="Y151" si="261">200000*12</f>
        <v>2400000</v>
      </c>
      <c r="Z151" s="947">
        <f t="shared" si="254"/>
        <v>600000</v>
      </c>
      <c r="AA151" s="947">
        <f t="shared" ref="AA151" si="262">Z151+Y151</f>
        <v>3000000</v>
      </c>
      <c r="AB151" s="1434" t="s">
        <v>377</v>
      </c>
    </row>
    <row r="152" spans="1:28" s="13" customFormat="1" ht="24" customHeight="1">
      <c r="A152" s="1435"/>
      <c r="B152" s="1437"/>
      <c r="C152" s="1437"/>
      <c r="D152" s="1437"/>
      <c r="E152" s="48">
        <v>3</v>
      </c>
      <c r="F152" s="937" t="s">
        <v>239</v>
      </c>
      <c r="G152" s="938">
        <v>1929000</v>
      </c>
      <c r="H152" s="939">
        <f t="shared" si="250"/>
        <v>5787000</v>
      </c>
      <c r="I152" s="940">
        <f t="shared" si="256"/>
        <v>1157400</v>
      </c>
      <c r="J152" s="941"/>
      <c r="K152" s="948">
        <f t="shared" si="251"/>
        <v>13840</v>
      </c>
      <c r="L152" s="943">
        <f t="shared" si="252"/>
        <v>1660800</v>
      </c>
      <c r="M152" s="943"/>
      <c r="N152" s="943"/>
      <c r="O152" s="944">
        <f>SUM(I152,J152,L152,M152,N152)</f>
        <v>2818200</v>
      </c>
      <c r="P152" s="970">
        <f t="shared" si="243"/>
        <v>717100</v>
      </c>
      <c r="Q152" s="945">
        <f>ROUND((H152+O152)*4.5%,-1)</f>
        <v>387230</v>
      </c>
      <c r="R152" s="945">
        <f t="shared" si="244"/>
        <v>286990</v>
      </c>
      <c r="S152" s="945">
        <f t="shared" si="245"/>
        <v>29420</v>
      </c>
      <c r="T152" s="945">
        <f t="shared" si="246"/>
        <v>90350</v>
      </c>
      <c r="U152" s="945">
        <f t="shared" si="247"/>
        <v>68840</v>
      </c>
      <c r="V152" s="943">
        <f t="shared" si="248"/>
        <v>862830</v>
      </c>
      <c r="W152" s="946">
        <f t="shared" si="249"/>
        <v>1579930</v>
      </c>
      <c r="X152" s="1441"/>
      <c r="Y152" s="949"/>
      <c r="Z152" s="949"/>
      <c r="AA152" s="949"/>
      <c r="AB152" s="1435"/>
    </row>
    <row r="153" spans="1:28" s="13" customFormat="1" ht="24" customHeight="1">
      <c r="A153" s="1434">
        <v>5</v>
      </c>
      <c r="B153" s="1436" t="s">
        <v>210</v>
      </c>
      <c r="C153" s="1436" t="s">
        <v>370</v>
      </c>
      <c r="D153" s="1436">
        <v>1</v>
      </c>
      <c r="E153" s="47">
        <v>12</v>
      </c>
      <c r="F153" s="937" t="s">
        <v>258</v>
      </c>
      <c r="G153" s="938">
        <v>1821000</v>
      </c>
      <c r="H153" s="939">
        <f>G153*E153</f>
        <v>21852000</v>
      </c>
      <c r="I153" s="940">
        <f>(G153*60%)*2</f>
        <v>2185200</v>
      </c>
      <c r="J153" s="941">
        <f>20000*12</f>
        <v>240000</v>
      </c>
      <c r="K153" s="942">
        <f t="shared" si="251"/>
        <v>13070</v>
      </c>
      <c r="L153" s="943">
        <f t="shared" si="252"/>
        <v>6273600</v>
      </c>
      <c r="M153" s="943"/>
      <c r="N153" s="943"/>
      <c r="O153" s="944">
        <f t="shared" si="257"/>
        <v>8698800</v>
      </c>
      <c r="P153" s="970">
        <f t="shared" si="243"/>
        <v>2545900</v>
      </c>
      <c r="Q153" s="945">
        <f t="shared" si="258"/>
        <v>1374790</v>
      </c>
      <c r="R153" s="945">
        <f t="shared" si="244"/>
        <v>1018870</v>
      </c>
      <c r="S153" s="945">
        <f t="shared" si="245"/>
        <v>104440</v>
      </c>
      <c r="T153" s="945">
        <f t="shared" si="246"/>
        <v>320780</v>
      </c>
      <c r="U153" s="945">
        <f t="shared" si="247"/>
        <v>244410</v>
      </c>
      <c r="V153" s="943">
        <f t="shared" si="248"/>
        <v>3063290</v>
      </c>
      <c r="W153" s="946">
        <f t="shared" si="249"/>
        <v>5609190</v>
      </c>
      <c r="X153" s="1440">
        <f>SUM(W153,W154,O153,O154,H153,H154)</f>
        <v>36159990</v>
      </c>
      <c r="Y153" s="947">
        <f t="shared" ref="Y153" si="263">200000*12</f>
        <v>2400000</v>
      </c>
      <c r="Z153" s="947">
        <f t="shared" si="254"/>
        <v>600000</v>
      </c>
      <c r="AA153" s="947">
        <f t="shared" ref="AA153" si="264">Z153+Y153</f>
        <v>3000000</v>
      </c>
      <c r="AB153" s="1434" t="s">
        <v>377</v>
      </c>
    </row>
    <row r="154" spans="1:28" s="13" customFormat="1" ht="24" customHeight="1">
      <c r="A154" s="1435"/>
      <c r="B154" s="1437"/>
      <c r="C154" s="1437"/>
      <c r="D154" s="1437"/>
      <c r="E154" s="48"/>
      <c r="F154" s="937"/>
      <c r="G154" s="938"/>
      <c r="H154" s="939">
        <f t="shared" si="250"/>
        <v>0</v>
      </c>
      <c r="I154" s="940"/>
      <c r="J154" s="941"/>
      <c r="K154" s="948">
        <f t="shared" si="251"/>
        <v>0</v>
      </c>
      <c r="L154" s="943">
        <f t="shared" si="252"/>
        <v>0</v>
      </c>
      <c r="M154" s="943"/>
      <c r="N154" s="943"/>
      <c r="O154" s="944">
        <f t="shared" si="257"/>
        <v>0</v>
      </c>
      <c r="P154" s="970">
        <f t="shared" si="243"/>
        <v>0</v>
      </c>
      <c r="Q154" s="945">
        <f t="shared" si="258"/>
        <v>0</v>
      </c>
      <c r="R154" s="945">
        <f t="shared" si="244"/>
        <v>0</v>
      </c>
      <c r="S154" s="945">
        <f t="shared" si="245"/>
        <v>0</v>
      </c>
      <c r="T154" s="945">
        <f t="shared" si="246"/>
        <v>0</v>
      </c>
      <c r="U154" s="945">
        <f t="shared" si="247"/>
        <v>0</v>
      </c>
      <c r="V154" s="943">
        <f t="shared" si="248"/>
        <v>0</v>
      </c>
      <c r="W154" s="946">
        <f t="shared" si="249"/>
        <v>0</v>
      </c>
      <c r="X154" s="1441"/>
      <c r="Y154" s="949"/>
      <c r="Z154" s="949"/>
      <c r="AA154" s="949"/>
      <c r="AB154" s="1435"/>
    </row>
    <row r="155" spans="1:28" s="13" customFormat="1" ht="24" customHeight="1">
      <c r="A155" s="1434">
        <v>6</v>
      </c>
      <c r="B155" s="1436" t="s">
        <v>210</v>
      </c>
      <c r="C155" s="1436" t="s">
        <v>371</v>
      </c>
      <c r="D155" s="1436">
        <v>1</v>
      </c>
      <c r="E155" s="47">
        <v>12</v>
      </c>
      <c r="F155" s="937" t="s">
        <v>258</v>
      </c>
      <c r="G155" s="938">
        <v>1821000</v>
      </c>
      <c r="H155" s="939">
        <f>G155*E155</f>
        <v>21852000</v>
      </c>
      <c r="I155" s="940">
        <f>(G155*60%)*2</f>
        <v>2185200</v>
      </c>
      <c r="J155" s="941"/>
      <c r="K155" s="942">
        <f t="shared" si="251"/>
        <v>13070</v>
      </c>
      <c r="L155" s="943">
        <f t="shared" si="252"/>
        <v>6273600</v>
      </c>
      <c r="M155" s="943"/>
      <c r="N155" s="943"/>
      <c r="O155" s="944">
        <f t="shared" si="257"/>
        <v>8458800</v>
      </c>
      <c r="P155" s="970">
        <f t="shared" si="243"/>
        <v>2525900</v>
      </c>
      <c r="Q155" s="945">
        <f t="shared" si="258"/>
        <v>1363990</v>
      </c>
      <c r="R155" s="945">
        <f t="shared" si="244"/>
        <v>1010870</v>
      </c>
      <c r="S155" s="945">
        <f t="shared" si="245"/>
        <v>103620</v>
      </c>
      <c r="T155" s="945">
        <f t="shared" si="246"/>
        <v>318260</v>
      </c>
      <c r="U155" s="945">
        <f t="shared" si="247"/>
        <v>242490</v>
      </c>
      <c r="V155" s="943">
        <f t="shared" si="248"/>
        <v>3039230</v>
      </c>
      <c r="W155" s="946">
        <f t="shared" si="249"/>
        <v>5565130</v>
      </c>
      <c r="X155" s="1440">
        <f>SUM(W155,W156,O155,O156,H155,H156)</f>
        <v>35875930</v>
      </c>
      <c r="Y155" s="947">
        <f t="shared" ref="Y155" si="265">200000*12</f>
        <v>2400000</v>
      </c>
      <c r="Z155" s="947">
        <f t="shared" si="254"/>
        <v>600000</v>
      </c>
      <c r="AA155" s="947">
        <f t="shared" ref="AA155" si="266">Z155+Y155</f>
        <v>3000000</v>
      </c>
      <c r="AB155" s="1434" t="s">
        <v>377</v>
      </c>
    </row>
    <row r="156" spans="1:28" s="13" customFormat="1" ht="24" customHeight="1">
      <c r="A156" s="1435"/>
      <c r="B156" s="1437"/>
      <c r="C156" s="1437"/>
      <c r="D156" s="1437"/>
      <c r="E156" s="48"/>
      <c r="F156" s="937"/>
      <c r="G156" s="938"/>
      <c r="H156" s="939">
        <f t="shared" ref="H156" si="267">G156*E156</f>
        <v>0</v>
      </c>
      <c r="I156" s="940">
        <f t="shared" ref="I156:I164" si="268">G156*60%</f>
        <v>0</v>
      </c>
      <c r="J156" s="941"/>
      <c r="K156" s="948">
        <f t="shared" si="251"/>
        <v>0</v>
      </c>
      <c r="L156" s="943">
        <f t="shared" si="252"/>
        <v>0</v>
      </c>
      <c r="M156" s="943"/>
      <c r="N156" s="943"/>
      <c r="O156" s="944">
        <f t="shared" si="257"/>
        <v>0</v>
      </c>
      <c r="P156" s="970">
        <f t="shared" si="243"/>
        <v>0</v>
      </c>
      <c r="Q156" s="945">
        <f t="shared" si="258"/>
        <v>0</v>
      </c>
      <c r="R156" s="945">
        <f t="shared" si="244"/>
        <v>0</v>
      </c>
      <c r="S156" s="945">
        <f t="shared" si="245"/>
        <v>0</v>
      </c>
      <c r="T156" s="945">
        <f t="shared" si="246"/>
        <v>0</v>
      </c>
      <c r="U156" s="945">
        <f t="shared" si="247"/>
        <v>0</v>
      </c>
      <c r="V156" s="943">
        <f t="shared" si="248"/>
        <v>0</v>
      </c>
      <c r="W156" s="946">
        <f t="shared" si="249"/>
        <v>0</v>
      </c>
      <c r="X156" s="1441"/>
      <c r="Y156" s="949"/>
      <c r="Z156" s="949"/>
      <c r="AA156" s="949"/>
      <c r="AB156" s="1435"/>
    </row>
    <row r="157" spans="1:28" s="13" customFormat="1" ht="24" customHeight="1">
      <c r="A157" s="1434">
        <v>7</v>
      </c>
      <c r="B157" s="1436" t="s">
        <v>210</v>
      </c>
      <c r="C157" s="1436" t="s">
        <v>372</v>
      </c>
      <c r="D157" s="1436">
        <v>6</v>
      </c>
      <c r="E157" s="47">
        <v>4</v>
      </c>
      <c r="F157" s="937" t="s">
        <v>239</v>
      </c>
      <c r="G157" s="938">
        <v>1929000</v>
      </c>
      <c r="H157" s="939">
        <f>G157*E157</f>
        <v>7716000</v>
      </c>
      <c r="I157" s="940"/>
      <c r="J157" s="941">
        <f>20000*11</f>
        <v>220000</v>
      </c>
      <c r="K157" s="942">
        <f t="shared" si="251"/>
        <v>13840</v>
      </c>
      <c r="L157" s="943">
        <f t="shared" si="252"/>
        <v>2214400</v>
      </c>
      <c r="M157" s="943"/>
      <c r="N157" s="943"/>
      <c r="O157" s="944">
        <f t="shared" si="257"/>
        <v>2434400</v>
      </c>
      <c r="P157" s="970">
        <f t="shared" si="243"/>
        <v>845870</v>
      </c>
      <c r="Q157" s="945">
        <f t="shared" si="258"/>
        <v>456770</v>
      </c>
      <c r="R157" s="945">
        <f t="shared" si="244"/>
        <v>338520</v>
      </c>
      <c r="S157" s="945">
        <f t="shared" si="245"/>
        <v>34700</v>
      </c>
      <c r="T157" s="945">
        <f t="shared" si="246"/>
        <v>106580</v>
      </c>
      <c r="U157" s="945">
        <f t="shared" si="247"/>
        <v>81200</v>
      </c>
      <c r="V157" s="943">
        <f t="shared" si="248"/>
        <v>1017770</v>
      </c>
      <c r="W157" s="946">
        <f t="shared" si="249"/>
        <v>1863640</v>
      </c>
      <c r="X157" s="1440">
        <f>SUM(W157,W158,O157,O158,H157,H158)</f>
        <v>34613750</v>
      </c>
      <c r="Y157" s="947">
        <f>200000*11</f>
        <v>2200000</v>
      </c>
      <c r="Z157" s="947">
        <f>50000*11</f>
        <v>550000</v>
      </c>
      <c r="AA157" s="947">
        <f t="shared" ref="AA157" si="269">Z157+Y157</f>
        <v>2750000</v>
      </c>
      <c r="AB157" s="1434" t="s">
        <v>378</v>
      </c>
    </row>
    <row r="158" spans="1:28" s="13" customFormat="1" ht="24" customHeight="1">
      <c r="A158" s="1435"/>
      <c r="B158" s="1437"/>
      <c r="C158" s="1437"/>
      <c r="D158" s="1437"/>
      <c r="E158" s="48">
        <v>7</v>
      </c>
      <c r="F158" s="937" t="s">
        <v>214</v>
      </c>
      <c r="G158" s="938">
        <v>1987000</v>
      </c>
      <c r="H158" s="939">
        <f t="shared" ref="H158:H164" si="270">G158*E158</f>
        <v>13909000</v>
      </c>
      <c r="I158" s="940">
        <f t="shared" si="268"/>
        <v>1192200</v>
      </c>
      <c r="J158" s="941"/>
      <c r="K158" s="948">
        <f t="shared" si="251"/>
        <v>14260</v>
      </c>
      <c r="L158" s="943">
        <f t="shared" si="252"/>
        <v>3992800</v>
      </c>
      <c r="M158" s="943"/>
      <c r="N158" s="943"/>
      <c r="O158" s="944">
        <f t="shared" si="257"/>
        <v>5185000</v>
      </c>
      <c r="P158" s="970">
        <f t="shared" si="243"/>
        <v>1591170</v>
      </c>
      <c r="Q158" s="945">
        <f t="shared" si="258"/>
        <v>859230</v>
      </c>
      <c r="R158" s="945">
        <f t="shared" si="244"/>
        <v>636790</v>
      </c>
      <c r="S158" s="945">
        <f t="shared" si="245"/>
        <v>65280</v>
      </c>
      <c r="T158" s="945">
        <f t="shared" si="246"/>
        <v>200490</v>
      </c>
      <c r="U158" s="945">
        <f t="shared" si="247"/>
        <v>152750</v>
      </c>
      <c r="V158" s="943">
        <f t="shared" si="248"/>
        <v>1914540</v>
      </c>
      <c r="W158" s="946">
        <f t="shared" si="249"/>
        <v>3505710</v>
      </c>
      <c r="X158" s="1441"/>
      <c r="Y158" s="949"/>
      <c r="Z158" s="949"/>
      <c r="AA158" s="949"/>
      <c r="AB158" s="1435"/>
    </row>
    <row r="159" spans="1:28" s="13" customFormat="1" ht="24" customHeight="1">
      <c r="A159" s="1434">
        <v>8</v>
      </c>
      <c r="B159" s="1436" t="s">
        <v>210</v>
      </c>
      <c r="C159" s="1434" t="s">
        <v>373</v>
      </c>
      <c r="D159" s="1436">
        <v>7</v>
      </c>
      <c r="E159" s="47">
        <v>3</v>
      </c>
      <c r="F159" s="950" t="s">
        <v>239</v>
      </c>
      <c r="G159" s="951">
        <v>1929000</v>
      </c>
      <c r="H159" s="939">
        <f t="shared" si="270"/>
        <v>5787000</v>
      </c>
      <c r="I159" s="940"/>
      <c r="J159" s="941">
        <f>40000*9</f>
        <v>360000</v>
      </c>
      <c r="K159" s="942">
        <f t="shared" si="251"/>
        <v>13840</v>
      </c>
      <c r="L159" s="943">
        <f t="shared" si="252"/>
        <v>1660800</v>
      </c>
      <c r="M159" s="943"/>
      <c r="N159" s="952"/>
      <c r="O159" s="944">
        <f>SUM(I159,J159,L159,M159,N160)</f>
        <v>2020800</v>
      </c>
      <c r="P159" s="970">
        <f t="shared" si="243"/>
        <v>650650</v>
      </c>
      <c r="Q159" s="945">
        <f t="shared" si="258"/>
        <v>351350</v>
      </c>
      <c r="R159" s="945">
        <f t="shared" si="244"/>
        <v>260400</v>
      </c>
      <c r="S159" s="945">
        <f t="shared" si="245"/>
        <v>26700</v>
      </c>
      <c r="T159" s="945">
        <f t="shared" si="246"/>
        <v>81980</v>
      </c>
      <c r="U159" s="945">
        <f t="shared" si="247"/>
        <v>62460</v>
      </c>
      <c r="V159" s="943">
        <f t="shared" si="248"/>
        <v>782890</v>
      </c>
      <c r="W159" s="946">
        <f t="shared" si="249"/>
        <v>1433540</v>
      </c>
      <c r="X159" s="1001">
        <f>SUM(W159,W160,O159,O160,H159,H160)</f>
        <v>28814090</v>
      </c>
      <c r="Y159" s="947">
        <f>200000*9</f>
        <v>1800000</v>
      </c>
      <c r="Z159" s="947">
        <f>50000*9</f>
        <v>450000</v>
      </c>
      <c r="AA159" s="947">
        <f t="shared" ref="AA159" si="271">Z159+Y159</f>
        <v>2250000</v>
      </c>
      <c r="AB159" s="1434" t="s">
        <v>379</v>
      </c>
    </row>
    <row r="160" spans="1:28" s="13" customFormat="1" ht="24" customHeight="1">
      <c r="A160" s="1435"/>
      <c r="B160" s="1437"/>
      <c r="C160" s="1435"/>
      <c r="D160" s="1437"/>
      <c r="E160" s="48">
        <v>6</v>
      </c>
      <c r="F160" s="950" t="s">
        <v>214</v>
      </c>
      <c r="G160" s="951">
        <v>1987000</v>
      </c>
      <c r="H160" s="939">
        <f t="shared" si="270"/>
        <v>11922000</v>
      </c>
      <c r="I160" s="940">
        <f t="shared" si="268"/>
        <v>1192200</v>
      </c>
      <c r="J160" s="941"/>
      <c r="K160" s="948">
        <f t="shared" si="251"/>
        <v>14260</v>
      </c>
      <c r="L160" s="943">
        <f t="shared" si="252"/>
        <v>3422400</v>
      </c>
      <c r="M160" s="943"/>
      <c r="N160" s="943"/>
      <c r="O160" s="944">
        <f>SUM(I160,J160,L160,M160,N161)</f>
        <v>4614600</v>
      </c>
      <c r="P160" s="970">
        <f t="shared" si="243"/>
        <v>1378050</v>
      </c>
      <c r="Q160" s="945">
        <f t="shared" si="258"/>
        <v>744150</v>
      </c>
      <c r="R160" s="945">
        <f t="shared" si="244"/>
        <v>551500</v>
      </c>
      <c r="S160" s="945">
        <f t="shared" si="245"/>
        <v>56530</v>
      </c>
      <c r="T160" s="945">
        <f t="shared" si="246"/>
        <v>173630</v>
      </c>
      <c r="U160" s="945">
        <f t="shared" si="247"/>
        <v>132290</v>
      </c>
      <c r="V160" s="943">
        <f t="shared" si="248"/>
        <v>1658100</v>
      </c>
      <c r="W160" s="946">
        <f t="shared" si="249"/>
        <v>3036150</v>
      </c>
      <c r="X160" s="1002"/>
      <c r="Y160" s="949"/>
      <c r="Z160" s="949"/>
      <c r="AA160" s="949"/>
      <c r="AB160" s="1435"/>
    </row>
    <row r="161" spans="1:30" s="13" customFormat="1" ht="24" customHeight="1">
      <c r="A161" s="1434">
        <v>9</v>
      </c>
      <c r="B161" s="1436" t="s">
        <v>210</v>
      </c>
      <c r="C161" s="1434" t="s">
        <v>374</v>
      </c>
      <c r="D161" s="1436">
        <v>7</v>
      </c>
      <c r="E161" s="47">
        <v>6</v>
      </c>
      <c r="F161" s="950" t="s">
        <v>258</v>
      </c>
      <c r="G161" s="951">
        <v>1821000</v>
      </c>
      <c r="H161" s="939">
        <f t="shared" si="270"/>
        <v>10926000</v>
      </c>
      <c r="I161" s="940">
        <f t="shared" si="268"/>
        <v>1092600</v>
      </c>
      <c r="J161" s="941"/>
      <c r="K161" s="942">
        <f t="shared" si="251"/>
        <v>13070</v>
      </c>
      <c r="L161" s="943">
        <f t="shared" si="252"/>
        <v>3136800</v>
      </c>
      <c r="M161" s="943"/>
      <c r="N161" s="943"/>
      <c r="O161" s="944">
        <f t="shared" si="257"/>
        <v>4229400</v>
      </c>
      <c r="P161" s="970">
        <f t="shared" si="243"/>
        <v>1262950</v>
      </c>
      <c r="Q161" s="945">
        <f t="shared" si="258"/>
        <v>681990</v>
      </c>
      <c r="R161" s="945">
        <f t="shared" si="244"/>
        <v>505440</v>
      </c>
      <c r="S161" s="945">
        <f t="shared" si="245"/>
        <v>51810</v>
      </c>
      <c r="T161" s="945">
        <f t="shared" si="246"/>
        <v>159130</v>
      </c>
      <c r="U161" s="945">
        <f t="shared" si="247"/>
        <v>121240</v>
      </c>
      <c r="V161" s="943">
        <f t="shared" si="248"/>
        <v>1519610</v>
      </c>
      <c r="W161" s="946">
        <f t="shared" si="249"/>
        <v>2782560</v>
      </c>
      <c r="X161" s="1001">
        <f>SUM(W161,W162,O161,O162,H161,H162)</f>
        <v>17937960</v>
      </c>
      <c r="Y161" s="947">
        <f>200000*6</f>
        <v>1200000</v>
      </c>
      <c r="Z161" s="947">
        <f>50000*6</f>
        <v>300000</v>
      </c>
      <c r="AA161" s="947">
        <f t="shared" ref="AA161" si="272">Z161+Y161</f>
        <v>1500000</v>
      </c>
      <c r="AB161" s="1434" t="s">
        <v>380</v>
      </c>
    </row>
    <row r="162" spans="1:30" s="13" customFormat="1" ht="24" customHeight="1">
      <c r="A162" s="1435"/>
      <c r="B162" s="1437"/>
      <c r="C162" s="1435"/>
      <c r="D162" s="1437"/>
      <c r="E162" s="48"/>
      <c r="F162" s="950"/>
      <c r="G162" s="951"/>
      <c r="H162" s="939">
        <f t="shared" si="270"/>
        <v>0</v>
      </c>
      <c r="I162" s="940">
        <f t="shared" si="268"/>
        <v>0</v>
      </c>
      <c r="J162" s="941"/>
      <c r="K162" s="948">
        <f t="shared" si="251"/>
        <v>0</v>
      </c>
      <c r="L162" s="943">
        <f t="shared" si="252"/>
        <v>0</v>
      </c>
      <c r="M162" s="943"/>
      <c r="N162" s="943"/>
      <c r="O162" s="944">
        <f t="shared" si="257"/>
        <v>0</v>
      </c>
      <c r="P162" s="970">
        <f t="shared" si="243"/>
        <v>0</v>
      </c>
      <c r="Q162" s="945">
        <f t="shared" si="258"/>
        <v>0</v>
      </c>
      <c r="R162" s="945">
        <f t="shared" si="244"/>
        <v>0</v>
      </c>
      <c r="S162" s="945">
        <f t="shared" si="245"/>
        <v>0</v>
      </c>
      <c r="T162" s="945">
        <f t="shared" si="246"/>
        <v>0</v>
      </c>
      <c r="U162" s="945">
        <f t="shared" si="247"/>
        <v>0</v>
      </c>
      <c r="V162" s="943">
        <f t="shared" si="248"/>
        <v>0</v>
      </c>
      <c r="W162" s="946">
        <f t="shared" si="249"/>
        <v>0</v>
      </c>
      <c r="X162" s="1002"/>
      <c r="Y162" s="949"/>
      <c r="Z162" s="949"/>
      <c r="AA162" s="949"/>
      <c r="AB162" s="1435"/>
    </row>
    <row r="163" spans="1:30" s="13" customFormat="1" ht="24" customHeight="1">
      <c r="A163" s="1434">
        <v>10</v>
      </c>
      <c r="B163" s="1436" t="s">
        <v>210</v>
      </c>
      <c r="C163" s="1434" t="s">
        <v>375</v>
      </c>
      <c r="D163" s="1436">
        <v>11</v>
      </c>
      <c r="E163" s="47">
        <v>3</v>
      </c>
      <c r="F163" s="950" t="s">
        <v>238</v>
      </c>
      <c r="G163" s="951">
        <v>1873000</v>
      </c>
      <c r="H163" s="939">
        <f t="shared" si="270"/>
        <v>5619000</v>
      </c>
      <c r="I163" s="940"/>
      <c r="J163" s="941">
        <f>40000*5</f>
        <v>200000</v>
      </c>
      <c r="K163" s="942">
        <f t="shared" si="251"/>
        <v>13440</v>
      </c>
      <c r="L163" s="943">
        <f t="shared" si="252"/>
        <v>1612800</v>
      </c>
      <c r="M163" s="943"/>
      <c r="N163" s="943"/>
      <c r="O163" s="944">
        <f t="shared" si="257"/>
        <v>1812800</v>
      </c>
      <c r="P163" s="970">
        <f t="shared" si="243"/>
        <v>619320</v>
      </c>
      <c r="Q163" s="945">
        <f t="shared" si="258"/>
        <v>334430</v>
      </c>
      <c r="R163" s="945">
        <f t="shared" si="244"/>
        <v>247860</v>
      </c>
      <c r="S163" s="945">
        <f t="shared" si="245"/>
        <v>25410</v>
      </c>
      <c r="T163" s="945">
        <f t="shared" si="246"/>
        <v>78030</v>
      </c>
      <c r="U163" s="945">
        <f t="shared" si="247"/>
        <v>59450</v>
      </c>
      <c r="V163" s="943">
        <f t="shared" si="248"/>
        <v>745180</v>
      </c>
      <c r="W163" s="946">
        <f t="shared" si="249"/>
        <v>1364500</v>
      </c>
      <c r="X163" s="1001">
        <f>SUM(W163,W164,O163,O164,H163,H164)</f>
        <v>16043030</v>
      </c>
      <c r="Y163" s="947">
        <f>200000*5</f>
        <v>1000000</v>
      </c>
      <c r="Z163" s="947">
        <f>50000*5</f>
        <v>250000</v>
      </c>
      <c r="AA163" s="947">
        <f t="shared" ref="AA163" si="273">Z163+Y163</f>
        <v>1250000</v>
      </c>
      <c r="AB163" s="1434" t="s">
        <v>381</v>
      </c>
    </row>
    <row r="164" spans="1:30" s="13" customFormat="1" ht="24" customHeight="1">
      <c r="A164" s="1435"/>
      <c r="B164" s="1437"/>
      <c r="C164" s="1435"/>
      <c r="D164" s="1437"/>
      <c r="E164" s="48">
        <v>2</v>
      </c>
      <c r="F164" s="950" t="s">
        <v>239</v>
      </c>
      <c r="G164" s="951">
        <v>1929000</v>
      </c>
      <c r="H164" s="939">
        <f t="shared" si="270"/>
        <v>3858000</v>
      </c>
      <c r="I164" s="940">
        <f t="shared" si="268"/>
        <v>1157400</v>
      </c>
      <c r="J164" s="941"/>
      <c r="K164" s="948">
        <f t="shared" si="251"/>
        <v>13840</v>
      </c>
      <c r="L164" s="943">
        <f>(K164*40)*E164</f>
        <v>1107200</v>
      </c>
      <c r="M164" s="943"/>
      <c r="N164" s="943"/>
      <c r="O164" s="944">
        <f t="shared" si="257"/>
        <v>2264600</v>
      </c>
      <c r="P164" s="970">
        <f t="shared" si="243"/>
        <v>510220</v>
      </c>
      <c r="Q164" s="945">
        <f t="shared" si="258"/>
        <v>275520</v>
      </c>
      <c r="R164" s="945">
        <f t="shared" si="244"/>
        <v>204190</v>
      </c>
      <c r="S164" s="945">
        <f t="shared" si="245"/>
        <v>20930</v>
      </c>
      <c r="T164" s="945">
        <f t="shared" si="246"/>
        <v>64290</v>
      </c>
      <c r="U164" s="945">
        <f t="shared" si="247"/>
        <v>48980</v>
      </c>
      <c r="V164" s="943">
        <f t="shared" si="248"/>
        <v>613910</v>
      </c>
      <c r="W164" s="946">
        <f t="shared" si="249"/>
        <v>1124130</v>
      </c>
      <c r="X164" s="1002"/>
      <c r="Y164" s="949"/>
      <c r="Z164" s="949"/>
      <c r="AA164" s="949"/>
      <c r="AB164" s="1435"/>
    </row>
    <row r="165" spans="1:30" s="13" customFormat="1" ht="24" customHeight="1">
      <c r="A165" s="1434">
        <v>11</v>
      </c>
      <c r="B165" s="1436" t="s">
        <v>210</v>
      </c>
      <c r="C165" s="1434" t="s">
        <v>376</v>
      </c>
      <c r="D165" s="1436">
        <v>1</v>
      </c>
      <c r="E165" s="47">
        <v>3</v>
      </c>
      <c r="F165" s="950" t="s">
        <v>238</v>
      </c>
      <c r="G165" s="951">
        <v>1873000</v>
      </c>
      <c r="H165" s="939">
        <f>G165*E165</f>
        <v>5619000</v>
      </c>
      <c r="I165" s="940">
        <f t="shared" si="256"/>
        <v>1123800</v>
      </c>
      <c r="J165" s="941">
        <f>40000*3</f>
        <v>120000</v>
      </c>
      <c r="K165" s="942">
        <f t="shared" si="251"/>
        <v>13440</v>
      </c>
      <c r="L165" s="943">
        <f t="shared" si="252"/>
        <v>1612800</v>
      </c>
      <c r="M165" s="943"/>
      <c r="N165" s="943"/>
      <c r="O165" s="944">
        <f t="shared" si="257"/>
        <v>2856600</v>
      </c>
      <c r="P165" s="970">
        <f t="shared" si="243"/>
        <v>706300</v>
      </c>
      <c r="Q165" s="945">
        <f t="shared" si="258"/>
        <v>381400</v>
      </c>
      <c r="R165" s="945">
        <f t="shared" si="244"/>
        <v>282670</v>
      </c>
      <c r="S165" s="945">
        <f t="shared" si="245"/>
        <v>28980</v>
      </c>
      <c r="T165" s="945">
        <f t="shared" si="246"/>
        <v>88990</v>
      </c>
      <c r="U165" s="945">
        <f t="shared" si="247"/>
        <v>67800</v>
      </c>
      <c r="V165" s="943">
        <f t="shared" si="248"/>
        <v>849840</v>
      </c>
      <c r="W165" s="946">
        <f t="shared" si="249"/>
        <v>1556140</v>
      </c>
      <c r="X165" s="1440">
        <f>SUM(W165,W166,O165,O166,H165,H166)</f>
        <v>10031740</v>
      </c>
      <c r="Y165" s="947">
        <f>200000*4</f>
        <v>800000</v>
      </c>
      <c r="Z165" s="947">
        <f>50000*4</f>
        <v>200000</v>
      </c>
      <c r="AA165" s="947">
        <f t="shared" ref="AA165" si="274">Z165+Y165</f>
        <v>1000000</v>
      </c>
      <c r="AB165" s="1434" t="s">
        <v>382</v>
      </c>
    </row>
    <row r="166" spans="1:30" s="13" customFormat="1" ht="24" customHeight="1">
      <c r="A166" s="1435"/>
      <c r="B166" s="1437"/>
      <c r="C166" s="1435"/>
      <c r="D166" s="1437"/>
      <c r="E166" s="48"/>
      <c r="F166" s="950"/>
      <c r="G166" s="951"/>
      <c r="H166" s="939">
        <f t="shared" si="250"/>
        <v>0</v>
      </c>
      <c r="I166" s="940">
        <f t="shared" si="256"/>
        <v>0</v>
      </c>
      <c r="J166" s="941"/>
      <c r="K166" s="948">
        <f t="shared" si="251"/>
        <v>0</v>
      </c>
      <c r="L166" s="943">
        <f t="shared" si="252"/>
        <v>0</v>
      </c>
      <c r="M166" s="943"/>
      <c r="N166" s="943"/>
      <c r="O166" s="944">
        <f t="shared" si="257"/>
        <v>0</v>
      </c>
      <c r="P166" s="970">
        <f t="shared" si="243"/>
        <v>0</v>
      </c>
      <c r="Q166" s="945">
        <f t="shared" si="258"/>
        <v>0</v>
      </c>
      <c r="R166" s="945">
        <f t="shared" si="244"/>
        <v>0</v>
      </c>
      <c r="S166" s="945">
        <f t="shared" si="245"/>
        <v>0</v>
      </c>
      <c r="T166" s="945">
        <f t="shared" si="246"/>
        <v>0</v>
      </c>
      <c r="U166" s="945">
        <f t="shared" si="247"/>
        <v>0</v>
      </c>
      <c r="V166" s="943">
        <f t="shared" si="248"/>
        <v>0</v>
      </c>
      <c r="W166" s="946">
        <f t="shared" si="249"/>
        <v>0</v>
      </c>
      <c r="X166" s="1441"/>
      <c r="Y166" s="949"/>
      <c r="Z166" s="949"/>
      <c r="AA166" s="949"/>
      <c r="AB166" s="1435"/>
    </row>
    <row r="167" spans="1:30" s="13" customFormat="1" ht="24" customHeight="1">
      <c r="A167" s="1434">
        <v>12</v>
      </c>
      <c r="B167" s="1436" t="s">
        <v>210</v>
      </c>
      <c r="C167" s="1434" t="s">
        <v>384</v>
      </c>
      <c r="D167" s="1436">
        <v>1</v>
      </c>
      <c r="E167" s="47">
        <v>6</v>
      </c>
      <c r="F167" s="950" t="s">
        <v>239</v>
      </c>
      <c r="G167" s="951">
        <v>1929000</v>
      </c>
      <c r="H167" s="939">
        <f t="shared" si="250"/>
        <v>11574000</v>
      </c>
      <c r="I167" s="940"/>
      <c r="J167" s="941">
        <f>40000*6</f>
        <v>240000</v>
      </c>
      <c r="K167" s="942">
        <f t="shared" si="251"/>
        <v>13840</v>
      </c>
      <c r="L167" s="943">
        <f t="shared" si="252"/>
        <v>3321600</v>
      </c>
      <c r="M167" s="943"/>
      <c r="N167" s="943"/>
      <c r="O167" s="944">
        <f t="shared" si="257"/>
        <v>3561600</v>
      </c>
      <c r="P167" s="970">
        <f t="shared" si="243"/>
        <v>1261300</v>
      </c>
      <c r="Q167" s="945">
        <f t="shared" si="258"/>
        <v>681100</v>
      </c>
      <c r="R167" s="945">
        <f t="shared" si="244"/>
        <v>504780</v>
      </c>
      <c r="S167" s="945">
        <f t="shared" si="245"/>
        <v>51740</v>
      </c>
      <c r="T167" s="945">
        <f t="shared" si="246"/>
        <v>158920</v>
      </c>
      <c r="U167" s="945">
        <f t="shared" si="247"/>
        <v>121080</v>
      </c>
      <c r="V167" s="943">
        <f t="shared" si="248"/>
        <v>1517620</v>
      </c>
      <c r="W167" s="946">
        <f t="shared" si="249"/>
        <v>2778920</v>
      </c>
      <c r="X167" s="1440">
        <f>SUM(W167,W168,O167,O168,H167,H168)</f>
        <v>17914520</v>
      </c>
      <c r="Y167" s="947">
        <f>200000*5</f>
        <v>1000000</v>
      </c>
      <c r="Z167" s="947">
        <f>50000*5</f>
        <v>250000</v>
      </c>
      <c r="AA167" s="947">
        <f t="shared" ref="AA167" si="275">Z167+Y167</f>
        <v>1250000</v>
      </c>
      <c r="AB167" s="1434" t="s">
        <v>385</v>
      </c>
    </row>
    <row r="168" spans="1:30" s="13" customFormat="1" ht="24" customHeight="1">
      <c r="A168" s="1442"/>
      <c r="B168" s="1443"/>
      <c r="C168" s="1442"/>
      <c r="D168" s="1443"/>
      <c r="E168" s="49"/>
      <c r="F168" s="953"/>
      <c r="G168" s="954"/>
      <c r="H168" s="955">
        <f t="shared" si="250"/>
        <v>0</v>
      </c>
      <c r="I168" s="956">
        <f t="shared" si="256"/>
        <v>0</v>
      </c>
      <c r="J168" s="957"/>
      <c r="K168" s="958">
        <f t="shared" si="251"/>
        <v>0</v>
      </c>
      <c r="L168" s="947">
        <f t="shared" si="252"/>
        <v>0</v>
      </c>
      <c r="M168" s="947"/>
      <c r="N168" s="947"/>
      <c r="O168" s="959">
        <f t="shared" si="257"/>
        <v>0</v>
      </c>
      <c r="P168" s="970">
        <f t="shared" si="243"/>
        <v>0</v>
      </c>
      <c r="Q168" s="960">
        <f t="shared" si="258"/>
        <v>0</v>
      </c>
      <c r="R168" s="960">
        <f t="shared" si="244"/>
        <v>0</v>
      </c>
      <c r="S168" s="960">
        <f t="shared" si="245"/>
        <v>0</v>
      </c>
      <c r="T168" s="960">
        <f t="shared" si="246"/>
        <v>0</v>
      </c>
      <c r="U168" s="960">
        <f t="shared" si="247"/>
        <v>0</v>
      </c>
      <c r="V168" s="947">
        <f t="shared" si="248"/>
        <v>0</v>
      </c>
      <c r="W168" s="961">
        <f t="shared" si="249"/>
        <v>0</v>
      </c>
      <c r="X168" s="1444"/>
      <c r="Y168" s="962"/>
      <c r="Z168" s="962"/>
      <c r="AA168" s="962"/>
      <c r="AB168" s="1442"/>
    </row>
    <row r="169" spans="1:30" s="127" customFormat="1" ht="35.1" customHeight="1">
      <c r="A169" s="1410" t="s">
        <v>383</v>
      </c>
      <c r="B169" s="1411"/>
      <c r="C169" s="1411"/>
      <c r="D169" s="1411"/>
      <c r="E169" s="1411"/>
      <c r="F169" s="1411"/>
      <c r="G169" s="1412"/>
      <c r="H169" s="978">
        <f>SUM(H145:H168)</f>
        <v>203106000</v>
      </c>
      <c r="I169" s="126">
        <f>SUM(I145:I168)</f>
        <v>18033600</v>
      </c>
      <c r="J169" s="126">
        <f t="shared" ref="J169:N169" si="276">SUM(J145:J168)</f>
        <v>1380000</v>
      </c>
      <c r="K169" s="126"/>
      <c r="L169" s="126">
        <f t="shared" si="276"/>
        <v>58301200</v>
      </c>
      <c r="M169" s="126">
        <f t="shared" si="276"/>
        <v>0</v>
      </c>
      <c r="N169" s="126">
        <f t="shared" si="276"/>
        <v>0</v>
      </c>
      <c r="O169" s="978">
        <f>SUM(O145:O168)</f>
        <v>77714800</v>
      </c>
      <c r="P169" s="126">
        <f>SUM(P145:P168)</f>
        <v>23401750</v>
      </c>
      <c r="Q169" s="126">
        <f>SUM(Q145:Q168)</f>
        <v>12636940</v>
      </c>
      <c r="R169" s="126">
        <f t="shared" ref="R169:W169" si="277">SUM(R143:R168)</f>
        <v>9365470</v>
      </c>
      <c r="S169" s="126">
        <f t="shared" si="277"/>
        <v>960040</v>
      </c>
      <c r="T169" s="126">
        <f t="shared" si="277"/>
        <v>2948590</v>
      </c>
      <c r="U169" s="126">
        <f t="shared" si="277"/>
        <v>2246540</v>
      </c>
      <c r="V169" s="126">
        <f t="shared" si="277"/>
        <v>28157580</v>
      </c>
      <c r="W169" s="978">
        <f t="shared" si="277"/>
        <v>51559330</v>
      </c>
      <c r="X169" s="979">
        <f>SUM(X145:X168)</f>
        <v>332380130</v>
      </c>
      <c r="Y169" s="126">
        <f>SUM(Y145:Y168)</f>
        <v>22400000</v>
      </c>
      <c r="Z169" s="126">
        <f t="shared" ref="Z169:AA169" si="278">SUM(Z145:Z168)</f>
        <v>5600000</v>
      </c>
      <c r="AA169" s="126">
        <f t="shared" si="278"/>
        <v>28000000</v>
      </c>
      <c r="AB169" s="126">
        <f>SUM(AB143:AB166)</f>
        <v>0</v>
      </c>
      <c r="AD169" s="1060">
        <f>X169*70%</f>
        <v>232666091</v>
      </c>
    </row>
    <row r="170" spans="1:30" ht="39.75" customHeight="1">
      <c r="X170" s="1059">
        <f>X169-W169</f>
        <v>280820800</v>
      </c>
      <c r="AD170" s="1059">
        <f>SUM(AD169,AD126)</f>
        <v>1757621159</v>
      </c>
    </row>
    <row r="171" spans="1:30" s="13" customFormat="1" ht="72.75" customHeight="1">
      <c r="G171" s="45"/>
      <c r="AD171" s="1059"/>
    </row>
    <row r="172" spans="1:30" s="13" customFormat="1" ht="42" customHeight="1">
      <c r="G172" s="45"/>
      <c r="AD172" s="1059"/>
    </row>
    <row r="173" spans="1:30" s="13" customFormat="1" ht="49.5" customHeight="1">
      <c r="G173" s="45"/>
      <c r="AD173" s="1059"/>
    </row>
    <row r="174" spans="1:30" ht="18.75" customHeight="1"/>
    <row r="175" spans="1:30" s="13" customFormat="1" ht="17.25">
      <c r="A175" s="1413" t="s">
        <v>1070</v>
      </c>
      <c r="B175" s="1413"/>
      <c r="C175" s="1413"/>
      <c r="D175" s="1413"/>
      <c r="E175" s="1413"/>
      <c r="F175" s="1413"/>
      <c r="G175" s="1413"/>
      <c r="H175" s="1413"/>
      <c r="I175" s="1413"/>
      <c r="J175" s="1413"/>
      <c r="K175" s="1413"/>
      <c r="L175" s="1413"/>
      <c r="M175" s="1413"/>
      <c r="N175" s="1413"/>
      <c r="O175" s="1413"/>
      <c r="P175" s="1413"/>
      <c r="Q175" s="1413"/>
      <c r="R175" s="1413"/>
      <c r="S175" s="1413"/>
      <c r="T175" s="1413"/>
      <c r="U175" s="1413"/>
      <c r="V175" s="1413"/>
      <c r="W175" s="1413"/>
      <c r="X175" s="1413"/>
      <c r="Y175" s="1413"/>
      <c r="Z175" s="1413"/>
      <c r="AA175" s="1413"/>
      <c r="AB175" s="1413"/>
    </row>
    <row r="176" spans="1:30" s="13" customFormat="1" ht="16.5" customHeight="1">
      <c r="A176" s="1408" t="s">
        <v>1075</v>
      </c>
      <c r="B176" s="1409"/>
      <c r="C176" s="1423"/>
      <c r="D176" s="1409"/>
      <c r="E176" s="1409"/>
      <c r="F176" s="30"/>
      <c r="G176" s="44"/>
      <c r="H176" s="30"/>
      <c r="I176" s="30"/>
      <c r="J176" s="30"/>
      <c r="K176" s="30"/>
      <c r="L176" s="30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  <c r="AA176" s="30"/>
      <c r="AB176" s="30"/>
    </row>
    <row r="177" spans="1:28" s="13" customFormat="1" ht="20.25" customHeight="1">
      <c r="A177" s="1414" t="s">
        <v>47</v>
      </c>
      <c r="B177" s="1414" t="s">
        <v>48</v>
      </c>
      <c r="C177" s="1414" t="s">
        <v>73</v>
      </c>
      <c r="D177" s="1414" t="s">
        <v>179</v>
      </c>
      <c r="E177" s="1021"/>
      <c r="F177" s="1414" t="s">
        <v>49</v>
      </c>
      <c r="G177" s="1416" t="s">
        <v>173</v>
      </c>
      <c r="H177" s="1416" t="s">
        <v>75</v>
      </c>
      <c r="I177" s="1420" t="s">
        <v>63</v>
      </c>
      <c r="J177" s="1421"/>
      <c r="K177" s="1421"/>
      <c r="L177" s="1421"/>
      <c r="M177" s="1421"/>
      <c r="N177" s="1421"/>
      <c r="O177" s="1422"/>
      <c r="P177" s="1418" t="s">
        <v>54</v>
      </c>
      <c r="Q177" s="1418" t="s">
        <v>168</v>
      </c>
      <c r="R177" s="1418" t="s">
        <v>846</v>
      </c>
      <c r="S177" s="1418" t="s">
        <v>847</v>
      </c>
      <c r="T177" s="1418" t="s">
        <v>850</v>
      </c>
      <c r="U177" s="1418" t="s">
        <v>852</v>
      </c>
      <c r="V177" s="1418" t="s">
        <v>867</v>
      </c>
      <c r="W177" s="1418" t="s">
        <v>180</v>
      </c>
      <c r="X177" s="1416" t="s">
        <v>72</v>
      </c>
      <c r="Y177" s="1420" t="s">
        <v>69</v>
      </c>
      <c r="Z177" s="1421"/>
      <c r="AA177" s="1422"/>
      <c r="AB177" s="1416" t="s">
        <v>50</v>
      </c>
    </row>
    <row r="178" spans="1:28" s="13" customFormat="1" ht="30" customHeight="1">
      <c r="A178" s="1415"/>
      <c r="B178" s="1415"/>
      <c r="C178" s="1415"/>
      <c r="D178" s="1415"/>
      <c r="E178" s="1022"/>
      <c r="F178" s="1415"/>
      <c r="G178" s="1417"/>
      <c r="H178" s="1417"/>
      <c r="I178" s="923" t="s">
        <v>515</v>
      </c>
      <c r="J178" s="923" t="s">
        <v>165</v>
      </c>
      <c r="K178" s="923" t="s">
        <v>178</v>
      </c>
      <c r="L178" s="923" t="s">
        <v>166</v>
      </c>
      <c r="M178" s="924" t="s">
        <v>167</v>
      </c>
      <c r="N178" s="924" t="s">
        <v>284</v>
      </c>
      <c r="O178" s="923" t="s">
        <v>64</v>
      </c>
      <c r="P178" s="1419"/>
      <c r="Q178" s="1419"/>
      <c r="R178" s="1419"/>
      <c r="S178" s="1419"/>
      <c r="T178" s="1419"/>
      <c r="U178" s="1419"/>
      <c r="V178" s="1419"/>
      <c r="W178" s="1419"/>
      <c r="X178" s="1417"/>
      <c r="Y178" s="925" t="s">
        <v>281</v>
      </c>
      <c r="Z178" s="925" t="s">
        <v>282</v>
      </c>
      <c r="AA178" s="1023" t="s">
        <v>70</v>
      </c>
      <c r="AB178" s="1417"/>
    </row>
    <row r="179" spans="1:28" s="13" customFormat="1" ht="24" customHeight="1">
      <c r="A179" s="1024">
        <v>1</v>
      </c>
      <c r="B179" s="1026" t="s">
        <v>161</v>
      </c>
      <c r="C179" s="1026" t="s">
        <v>162</v>
      </c>
      <c r="D179" s="1026">
        <v>6</v>
      </c>
      <c r="E179" s="927"/>
      <c r="F179" s="928" t="s">
        <v>163</v>
      </c>
      <c r="G179" s="963"/>
      <c r="H179" s="964"/>
      <c r="I179" s="965"/>
      <c r="J179" s="966"/>
      <c r="K179" s="967"/>
      <c r="L179" s="968"/>
      <c r="M179" s="968"/>
      <c r="N179" s="968">
        <f>300000*12</f>
        <v>3600000</v>
      </c>
      <c r="O179" s="969">
        <f>SUM(I179,J179,L179,M179,N179)</f>
        <v>3600000</v>
      </c>
      <c r="P179" s="970">
        <f>ROUNDUP((H179+I179+J179+L179+M179+N179)*1/12,-1)</f>
        <v>300000</v>
      </c>
      <c r="Q179" s="970"/>
      <c r="R179" s="970">
        <f>ROUNDUP(N179*3.335%,-1)</f>
        <v>120060</v>
      </c>
      <c r="S179" s="970">
        <f t="shared" ref="S179:S190" si="279">ROUNDUP(R179*10.25%,-1)</f>
        <v>12310</v>
      </c>
      <c r="T179" s="970"/>
      <c r="U179" s="970"/>
      <c r="V179" s="968">
        <f t="shared" ref="V179:V190" si="280">SUM(Q179:U179)</f>
        <v>132370</v>
      </c>
      <c r="W179" s="971">
        <f t="shared" ref="W179:W190" si="281">SUM(P179,V179)</f>
        <v>432370</v>
      </c>
      <c r="X179" s="1027">
        <f>SUM(W179,O179)</f>
        <v>4032370</v>
      </c>
      <c r="Y179" s="972"/>
      <c r="Z179" s="972"/>
      <c r="AA179" s="973">
        <f>Z179+Y179</f>
        <v>0</v>
      </c>
      <c r="AB179" s="1024"/>
    </row>
    <row r="180" spans="1:28" s="13" customFormat="1" ht="24" customHeight="1">
      <c r="A180" s="1024">
        <v>2</v>
      </c>
      <c r="B180" s="1026" t="s">
        <v>174</v>
      </c>
      <c r="C180" s="1026" t="s">
        <v>175</v>
      </c>
      <c r="D180" s="1026">
        <v>5</v>
      </c>
      <c r="E180" s="927"/>
      <c r="F180" s="928" t="s">
        <v>176</v>
      </c>
      <c r="G180" s="963"/>
      <c r="H180" s="964"/>
      <c r="I180" s="965"/>
      <c r="J180" s="966"/>
      <c r="K180" s="967"/>
      <c r="L180" s="968"/>
      <c r="M180" s="968"/>
      <c r="N180" s="968">
        <f>200000*12</f>
        <v>2400000</v>
      </c>
      <c r="O180" s="969">
        <f t="shared" ref="O180:O190" si="282">SUM(I180,J180,L180,M180,N180)</f>
        <v>2400000</v>
      </c>
      <c r="P180" s="970">
        <f t="shared" ref="P180:P190" si="283">ROUNDUP((H180+I180+J180+L180+M180+N180)*1/12,-1)</f>
        <v>200000</v>
      </c>
      <c r="Q180" s="970">
        <f t="shared" ref="Q180:Q190" si="284">ROUND(N180*4.5%,-1)</f>
        <v>108000</v>
      </c>
      <c r="R180" s="970">
        <f t="shared" ref="R180:R190" si="285">ROUNDUP(N180*3.335%,-1)</f>
        <v>80040</v>
      </c>
      <c r="S180" s="970">
        <f t="shared" si="279"/>
        <v>8210</v>
      </c>
      <c r="T180" s="970">
        <f>ROUND(O180*1.05%,-1)</f>
        <v>25200</v>
      </c>
      <c r="U180" s="970">
        <f>ROUND(O180*0.8%,-1)</f>
        <v>19200</v>
      </c>
      <c r="V180" s="968">
        <f t="shared" si="280"/>
        <v>240650</v>
      </c>
      <c r="W180" s="971">
        <f t="shared" si="281"/>
        <v>440650</v>
      </c>
      <c r="X180" s="1027">
        <f t="shared" ref="X180:X190" si="286">SUM(W180,O180)</f>
        <v>2840650</v>
      </c>
      <c r="Y180" s="972"/>
      <c r="Z180" s="972"/>
      <c r="AA180" s="973">
        <f t="shared" ref="AA180" si="287">Z180+Y180</f>
        <v>0</v>
      </c>
      <c r="AB180" s="1024"/>
    </row>
    <row r="181" spans="1:28" s="13" customFormat="1" ht="24" customHeight="1">
      <c r="A181" s="1024">
        <v>3</v>
      </c>
      <c r="B181" s="1020" t="s">
        <v>181</v>
      </c>
      <c r="C181" s="1026" t="s">
        <v>182</v>
      </c>
      <c r="D181" s="1026">
        <v>7</v>
      </c>
      <c r="E181" s="927"/>
      <c r="F181" s="928" t="s">
        <v>183</v>
      </c>
      <c r="G181" s="963"/>
      <c r="H181" s="964"/>
      <c r="I181" s="965"/>
      <c r="J181" s="966"/>
      <c r="K181" s="967"/>
      <c r="L181" s="968"/>
      <c r="M181" s="968"/>
      <c r="N181" s="968">
        <f>150000*12</f>
        <v>1800000</v>
      </c>
      <c r="O181" s="969">
        <f t="shared" si="282"/>
        <v>1800000</v>
      </c>
      <c r="P181" s="970">
        <f t="shared" si="283"/>
        <v>150000</v>
      </c>
      <c r="Q181" s="970">
        <f t="shared" si="284"/>
        <v>81000</v>
      </c>
      <c r="R181" s="970">
        <f t="shared" si="285"/>
        <v>60030</v>
      </c>
      <c r="S181" s="970">
        <f t="shared" si="279"/>
        <v>6160</v>
      </c>
      <c r="T181" s="970">
        <f t="shared" ref="T181:T190" si="288">ROUND(O181*1.05%,-1)</f>
        <v>18900</v>
      </c>
      <c r="U181" s="970">
        <f t="shared" ref="U181:U190" si="289">ROUND(O181*0.8%,-1)</f>
        <v>14400</v>
      </c>
      <c r="V181" s="968">
        <f t="shared" si="280"/>
        <v>180490</v>
      </c>
      <c r="W181" s="971">
        <f t="shared" si="281"/>
        <v>330490</v>
      </c>
      <c r="X181" s="1027">
        <f t="shared" si="286"/>
        <v>2130490</v>
      </c>
      <c r="Y181" s="972"/>
      <c r="Z181" s="972"/>
      <c r="AA181" s="973">
        <f t="shared" ref="AA181" si="290">Z181+Y181</f>
        <v>0</v>
      </c>
      <c r="AB181" s="1024"/>
    </row>
    <row r="182" spans="1:28" s="13" customFormat="1" ht="24" customHeight="1">
      <c r="A182" s="1024">
        <v>4</v>
      </c>
      <c r="B182" s="1020" t="s">
        <v>187</v>
      </c>
      <c r="C182" s="1026" t="s">
        <v>188</v>
      </c>
      <c r="D182" s="1026">
        <v>4</v>
      </c>
      <c r="E182" s="927"/>
      <c r="F182" s="928" t="s">
        <v>189</v>
      </c>
      <c r="G182" s="963"/>
      <c r="H182" s="964"/>
      <c r="I182" s="965"/>
      <c r="J182" s="966"/>
      <c r="K182" s="967"/>
      <c r="L182" s="968"/>
      <c r="M182" s="968"/>
      <c r="N182" s="968">
        <f>100000*12</f>
        <v>1200000</v>
      </c>
      <c r="O182" s="969">
        <f t="shared" si="282"/>
        <v>1200000</v>
      </c>
      <c r="P182" s="970">
        <f t="shared" si="283"/>
        <v>100000</v>
      </c>
      <c r="Q182" s="970">
        <f t="shared" si="284"/>
        <v>54000</v>
      </c>
      <c r="R182" s="970">
        <f t="shared" si="285"/>
        <v>40020</v>
      </c>
      <c r="S182" s="970">
        <f t="shared" si="279"/>
        <v>4110</v>
      </c>
      <c r="T182" s="970">
        <f t="shared" si="288"/>
        <v>12600</v>
      </c>
      <c r="U182" s="970">
        <f t="shared" si="289"/>
        <v>9600</v>
      </c>
      <c r="V182" s="968">
        <f t="shared" si="280"/>
        <v>120330</v>
      </c>
      <c r="W182" s="971">
        <f t="shared" si="281"/>
        <v>220330</v>
      </c>
      <c r="X182" s="1027">
        <f t="shared" si="286"/>
        <v>1420330</v>
      </c>
      <c r="Y182" s="972"/>
      <c r="Z182" s="972"/>
      <c r="AA182" s="973">
        <f t="shared" ref="AA182" si="291">Z182+Y182</f>
        <v>0</v>
      </c>
      <c r="AB182" s="1024"/>
    </row>
    <row r="183" spans="1:28" s="13" customFormat="1" ht="24" customHeight="1">
      <c r="A183" s="1024">
        <v>5</v>
      </c>
      <c r="B183" s="1020" t="s">
        <v>202</v>
      </c>
      <c r="C183" s="1026" t="s">
        <v>203</v>
      </c>
      <c r="D183" s="1026">
        <v>11</v>
      </c>
      <c r="E183" s="927"/>
      <c r="F183" s="928" t="s">
        <v>197</v>
      </c>
      <c r="G183" s="963"/>
      <c r="H183" s="964"/>
      <c r="I183" s="965"/>
      <c r="J183" s="966"/>
      <c r="K183" s="967"/>
      <c r="L183" s="968"/>
      <c r="M183" s="968"/>
      <c r="N183" s="968">
        <f>100000*12</f>
        <v>1200000</v>
      </c>
      <c r="O183" s="969">
        <f t="shared" si="282"/>
        <v>1200000</v>
      </c>
      <c r="P183" s="970">
        <f t="shared" si="283"/>
        <v>100000</v>
      </c>
      <c r="Q183" s="970">
        <f t="shared" si="284"/>
        <v>54000</v>
      </c>
      <c r="R183" s="970">
        <f t="shared" si="285"/>
        <v>40020</v>
      </c>
      <c r="S183" s="970">
        <f t="shared" si="279"/>
        <v>4110</v>
      </c>
      <c r="T183" s="970">
        <f t="shared" si="288"/>
        <v>12600</v>
      </c>
      <c r="U183" s="970">
        <f t="shared" si="289"/>
        <v>9600</v>
      </c>
      <c r="V183" s="968">
        <f t="shared" si="280"/>
        <v>120330</v>
      </c>
      <c r="W183" s="971">
        <f t="shared" si="281"/>
        <v>220330</v>
      </c>
      <c r="X183" s="1027">
        <f t="shared" si="286"/>
        <v>1420330</v>
      </c>
      <c r="Y183" s="972"/>
      <c r="Z183" s="972"/>
      <c r="AA183" s="973">
        <f t="shared" ref="AA183" si="292">Z183+Y183</f>
        <v>0</v>
      </c>
      <c r="AB183" s="1024"/>
    </row>
    <row r="184" spans="1:28" s="13" customFormat="1" ht="24" customHeight="1">
      <c r="A184" s="1024">
        <v>6</v>
      </c>
      <c r="B184" s="1020" t="s">
        <v>191</v>
      </c>
      <c r="C184" s="1026" t="s">
        <v>192</v>
      </c>
      <c r="D184" s="1026">
        <v>1</v>
      </c>
      <c r="E184" s="927"/>
      <c r="F184" s="928" t="s">
        <v>189</v>
      </c>
      <c r="G184" s="963"/>
      <c r="H184" s="964"/>
      <c r="I184" s="965"/>
      <c r="J184" s="966"/>
      <c r="K184" s="967"/>
      <c r="L184" s="968"/>
      <c r="M184" s="968"/>
      <c r="N184" s="968">
        <f>100000*10</f>
        <v>1000000</v>
      </c>
      <c r="O184" s="969">
        <f t="shared" si="282"/>
        <v>1000000</v>
      </c>
      <c r="P184" s="970">
        <f t="shared" si="283"/>
        <v>83340</v>
      </c>
      <c r="Q184" s="970">
        <f t="shared" si="284"/>
        <v>45000</v>
      </c>
      <c r="R184" s="970">
        <f t="shared" si="285"/>
        <v>33350</v>
      </c>
      <c r="S184" s="970">
        <f t="shared" si="279"/>
        <v>3420</v>
      </c>
      <c r="T184" s="970">
        <f t="shared" si="288"/>
        <v>10500</v>
      </c>
      <c r="U184" s="970">
        <f t="shared" si="289"/>
        <v>8000</v>
      </c>
      <c r="V184" s="968">
        <f t="shared" si="280"/>
        <v>100270</v>
      </c>
      <c r="W184" s="971">
        <f t="shared" si="281"/>
        <v>183610</v>
      </c>
      <c r="X184" s="1027">
        <f t="shared" si="286"/>
        <v>1183610</v>
      </c>
      <c r="Y184" s="972"/>
      <c r="Z184" s="972"/>
      <c r="AA184" s="973">
        <f t="shared" ref="AA184" si="293">Z184+Y184</f>
        <v>0</v>
      </c>
      <c r="AB184" s="1024" t="s">
        <v>270</v>
      </c>
    </row>
    <row r="185" spans="1:28" s="13" customFormat="1" ht="24" customHeight="1">
      <c r="A185" s="1024">
        <v>12</v>
      </c>
      <c r="B185" s="1025" t="s">
        <v>185</v>
      </c>
      <c r="C185" s="1024" t="s">
        <v>186</v>
      </c>
      <c r="D185" s="1026">
        <v>10</v>
      </c>
      <c r="E185" s="927"/>
      <c r="F185" s="930" t="s">
        <v>206</v>
      </c>
      <c r="G185" s="977"/>
      <c r="H185" s="964"/>
      <c r="I185" s="965"/>
      <c r="J185" s="966"/>
      <c r="K185" s="967"/>
      <c r="L185" s="968"/>
      <c r="M185" s="968"/>
      <c r="N185" s="968">
        <f>150000*12</f>
        <v>1800000</v>
      </c>
      <c r="O185" s="969">
        <f t="shared" si="282"/>
        <v>1800000</v>
      </c>
      <c r="P185" s="970">
        <f t="shared" si="283"/>
        <v>150000</v>
      </c>
      <c r="Q185" s="970">
        <f t="shared" si="284"/>
        <v>81000</v>
      </c>
      <c r="R185" s="970">
        <f t="shared" si="285"/>
        <v>60030</v>
      </c>
      <c r="S185" s="970">
        <f t="shared" si="279"/>
        <v>6160</v>
      </c>
      <c r="T185" s="970">
        <f t="shared" si="288"/>
        <v>18900</v>
      </c>
      <c r="U185" s="970">
        <f t="shared" si="289"/>
        <v>14400</v>
      </c>
      <c r="V185" s="968">
        <f t="shared" si="280"/>
        <v>180490</v>
      </c>
      <c r="W185" s="971">
        <f t="shared" si="281"/>
        <v>330490</v>
      </c>
      <c r="X185" s="1027">
        <f t="shared" si="286"/>
        <v>2130490</v>
      </c>
      <c r="Y185" s="972"/>
      <c r="Z185" s="972"/>
      <c r="AA185" s="973">
        <f t="shared" ref="AA185" si="294">Z185+Y185</f>
        <v>0</v>
      </c>
      <c r="AB185" s="1024"/>
    </row>
    <row r="186" spans="1:28" s="13" customFormat="1" ht="24" customHeight="1">
      <c r="A186" s="1024">
        <v>13</v>
      </c>
      <c r="B186" s="1025" t="s">
        <v>202</v>
      </c>
      <c r="C186" s="1024" t="s">
        <v>207</v>
      </c>
      <c r="D186" s="1026">
        <v>8</v>
      </c>
      <c r="E186" s="927"/>
      <c r="F186" s="930" t="s">
        <v>196</v>
      </c>
      <c r="G186" s="977"/>
      <c r="H186" s="964"/>
      <c r="I186" s="965"/>
      <c r="J186" s="966"/>
      <c r="K186" s="967"/>
      <c r="L186" s="968"/>
      <c r="M186" s="968"/>
      <c r="N186" s="968">
        <f>100000*12</f>
        <v>1200000</v>
      </c>
      <c r="O186" s="969">
        <f t="shared" si="282"/>
        <v>1200000</v>
      </c>
      <c r="P186" s="970">
        <f t="shared" si="283"/>
        <v>100000</v>
      </c>
      <c r="Q186" s="970">
        <f t="shared" si="284"/>
        <v>54000</v>
      </c>
      <c r="R186" s="970">
        <f t="shared" si="285"/>
        <v>40020</v>
      </c>
      <c r="S186" s="970">
        <f t="shared" si="279"/>
        <v>4110</v>
      </c>
      <c r="T186" s="970">
        <f t="shared" si="288"/>
        <v>12600</v>
      </c>
      <c r="U186" s="970">
        <f t="shared" si="289"/>
        <v>9600</v>
      </c>
      <c r="V186" s="968">
        <f t="shared" si="280"/>
        <v>120330</v>
      </c>
      <c r="W186" s="971">
        <f t="shared" si="281"/>
        <v>220330</v>
      </c>
      <c r="X186" s="1027">
        <f t="shared" si="286"/>
        <v>1420330</v>
      </c>
      <c r="Y186" s="972"/>
      <c r="Z186" s="972"/>
      <c r="AA186" s="973">
        <f t="shared" ref="AA186" si="295">Z186+Y186</f>
        <v>0</v>
      </c>
      <c r="AB186" s="1024"/>
    </row>
    <row r="187" spans="1:28" s="13" customFormat="1" ht="24" customHeight="1">
      <c r="A187" s="1024">
        <v>15</v>
      </c>
      <c r="B187" s="1025" t="s">
        <v>285</v>
      </c>
      <c r="C187" s="1024" t="s">
        <v>211</v>
      </c>
      <c r="D187" s="1026">
        <v>2</v>
      </c>
      <c r="E187" s="927"/>
      <c r="F187" s="930" t="s">
        <v>197</v>
      </c>
      <c r="G187" s="977"/>
      <c r="H187" s="964"/>
      <c r="I187" s="965"/>
      <c r="J187" s="966"/>
      <c r="K187" s="967"/>
      <c r="L187" s="968"/>
      <c r="M187" s="968"/>
      <c r="N187" s="968">
        <f>100000*12</f>
        <v>1200000</v>
      </c>
      <c r="O187" s="969">
        <f t="shared" si="282"/>
        <v>1200000</v>
      </c>
      <c r="P187" s="970">
        <f t="shared" si="283"/>
        <v>100000</v>
      </c>
      <c r="Q187" s="970">
        <f t="shared" si="284"/>
        <v>54000</v>
      </c>
      <c r="R187" s="970">
        <f t="shared" si="285"/>
        <v>40020</v>
      </c>
      <c r="S187" s="970">
        <f t="shared" si="279"/>
        <v>4110</v>
      </c>
      <c r="T187" s="970">
        <f t="shared" si="288"/>
        <v>12600</v>
      </c>
      <c r="U187" s="970">
        <f t="shared" si="289"/>
        <v>9600</v>
      </c>
      <c r="V187" s="968">
        <f t="shared" si="280"/>
        <v>120330</v>
      </c>
      <c r="W187" s="971">
        <f t="shared" si="281"/>
        <v>220330</v>
      </c>
      <c r="X187" s="1027">
        <f t="shared" si="286"/>
        <v>1420330</v>
      </c>
      <c r="Y187" s="972"/>
      <c r="Z187" s="972"/>
      <c r="AA187" s="973">
        <f t="shared" ref="AA187" si="296">Z187+Y187</f>
        <v>0</v>
      </c>
      <c r="AB187" s="1024"/>
    </row>
    <row r="188" spans="1:28" s="13" customFormat="1" ht="24" customHeight="1">
      <c r="A188" s="1024">
        <v>19</v>
      </c>
      <c r="B188" s="1025" t="s">
        <v>285</v>
      </c>
      <c r="C188" s="1024" t="s">
        <v>217</v>
      </c>
      <c r="D188" s="1026">
        <v>11</v>
      </c>
      <c r="E188" s="927"/>
      <c r="F188" s="930" t="s">
        <v>164</v>
      </c>
      <c r="G188" s="977"/>
      <c r="H188" s="964"/>
      <c r="I188" s="965"/>
      <c r="J188" s="966"/>
      <c r="K188" s="967"/>
      <c r="L188" s="968"/>
      <c r="M188" s="968"/>
      <c r="N188" s="968">
        <f>100000*12</f>
        <v>1200000</v>
      </c>
      <c r="O188" s="969">
        <f t="shared" si="282"/>
        <v>1200000</v>
      </c>
      <c r="P188" s="970">
        <f t="shared" si="283"/>
        <v>100000</v>
      </c>
      <c r="Q188" s="970">
        <f t="shared" si="284"/>
        <v>54000</v>
      </c>
      <c r="R188" s="970">
        <f t="shared" si="285"/>
        <v>40020</v>
      </c>
      <c r="S188" s="970">
        <f t="shared" si="279"/>
        <v>4110</v>
      </c>
      <c r="T188" s="970">
        <f t="shared" si="288"/>
        <v>12600</v>
      </c>
      <c r="U188" s="970">
        <f t="shared" si="289"/>
        <v>9600</v>
      </c>
      <c r="V188" s="968">
        <f t="shared" si="280"/>
        <v>120330</v>
      </c>
      <c r="W188" s="971">
        <f t="shared" si="281"/>
        <v>220330</v>
      </c>
      <c r="X188" s="1027">
        <f t="shared" si="286"/>
        <v>1420330</v>
      </c>
      <c r="Y188" s="972"/>
      <c r="Z188" s="972"/>
      <c r="AA188" s="973">
        <f t="shared" ref="AA188" si="297">Z188+Y188</f>
        <v>0</v>
      </c>
      <c r="AB188" s="1024"/>
    </row>
    <row r="189" spans="1:28" s="13" customFormat="1" ht="24" customHeight="1">
      <c r="A189" s="1024">
        <v>20</v>
      </c>
      <c r="B189" s="1025" t="s">
        <v>285</v>
      </c>
      <c r="C189" s="1024" t="s">
        <v>218</v>
      </c>
      <c r="D189" s="1026">
        <v>5</v>
      </c>
      <c r="E189" s="927"/>
      <c r="F189" s="930" t="s">
        <v>196</v>
      </c>
      <c r="G189" s="977"/>
      <c r="H189" s="964"/>
      <c r="I189" s="965"/>
      <c r="J189" s="966"/>
      <c r="K189" s="967"/>
      <c r="L189" s="968"/>
      <c r="M189" s="968"/>
      <c r="N189" s="968">
        <f>100000*12</f>
        <v>1200000</v>
      </c>
      <c r="O189" s="969">
        <f t="shared" si="282"/>
        <v>1200000</v>
      </c>
      <c r="P189" s="970">
        <f t="shared" si="283"/>
        <v>100000</v>
      </c>
      <c r="Q189" s="970">
        <f t="shared" si="284"/>
        <v>54000</v>
      </c>
      <c r="R189" s="970">
        <f t="shared" si="285"/>
        <v>40020</v>
      </c>
      <c r="S189" s="970">
        <f t="shared" si="279"/>
        <v>4110</v>
      </c>
      <c r="T189" s="970">
        <f t="shared" si="288"/>
        <v>12600</v>
      </c>
      <c r="U189" s="970">
        <f t="shared" si="289"/>
        <v>9600</v>
      </c>
      <c r="V189" s="968">
        <f t="shared" si="280"/>
        <v>120330</v>
      </c>
      <c r="W189" s="971">
        <f t="shared" si="281"/>
        <v>220330</v>
      </c>
      <c r="X189" s="1027">
        <f t="shared" si="286"/>
        <v>1420330</v>
      </c>
      <c r="Y189" s="972"/>
      <c r="Z189" s="972"/>
      <c r="AA189" s="973">
        <f t="shared" ref="AA189" si="298">Z189+Y189</f>
        <v>0</v>
      </c>
      <c r="AB189" s="1024"/>
    </row>
    <row r="190" spans="1:28" s="13" customFormat="1" ht="24" customHeight="1">
      <c r="A190" s="1024">
        <v>21</v>
      </c>
      <c r="B190" s="1025" t="s">
        <v>285</v>
      </c>
      <c r="C190" s="1024" t="s">
        <v>219</v>
      </c>
      <c r="D190" s="1026">
        <v>4</v>
      </c>
      <c r="E190" s="927"/>
      <c r="F190" s="930" t="s">
        <v>220</v>
      </c>
      <c r="G190" s="977"/>
      <c r="H190" s="964"/>
      <c r="I190" s="965"/>
      <c r="J190" s="966"/>
      <c r="K190" s="967"/>
      <c r="L190" s="968"/>
      <c r="M190" s="968"/>
      <c r="N190" s="968">
        <f>100000*12</f>
        <v>1200000</v>
      </c>
      <c r="O190" s="969">
        <f t="shared" si="282"/>
        <v>1200000</v>
      </c>
      <c r="P190" s="970">
        <f t="shared" si="283"/>
        <v>100000</v>
      </c>
      <c r="Q190" s="970">
        <f t="shared" si="284"/>
        <v>54000</v>
      </c>
      <c r="R190" s="970">
        <f t="shared" si="285"/>
        <v>40020</v>
      </c>
      <c r="S190" s="970">
        <f t="shared" si="279"/>
        <v>4110</v>
      </c>
      <c r="T190" s="970">
        <f t="shared" si="288"/>
        <v>12600</v>
      </c>
      <c r="U190" s="970">
        <f t="shared" si="289"/>
        <v>9600</v>
      </c>
      <c r="V190" s="968">
        <f t="shared" si="280"/>
        <v>120330</v>
      </c>
      <c r="W190" s="971">
        <f t="shared" si="281"/>
        <v>220330</v>
      </c>
      <c r="X190" s="1027">
        <f t="shared" si="286"/>
        <v>1420330</v>
      </c>
      <c r="Y190" s="972"/>
      <c r="Z190" s="972"/>
      <c r="AA190" s="973">
        <f t="shared" ref="AA190" si="299">Z190+Y190</f>
        <v>0</v>
      </c>
      <c r="AB190" s="1024"/>
    </row>
    <row r="191" spans="1:28" s="127" customFormat="1" ht="35.1" customHeight="1">
      <c r="A191" s="1410" t="s">
        <v>383</v>
      </c>
      <c r="B191" s="1411"/>
      <c r="C191" s="1411"/>
      <c r="D191" s="1411"/>
      <c r="E191" s="1411"/>
      <c r="F191" s="1411"/>
      <c r="G191" s="1412"/>
      <c r="H191" s="978"/>
      <c r="I191" s="1043"/>
      <c r="J191" s="1043"/>
      <c r="K191" s="1043"/>
      <c r="L191" s="1043"/>
      <c r="M191" s="1043">
        <f t="shared" ref="M191" si="300">SUM(M164:M190)</f>
        <v>0</v>
      </c>
      <c r="N191" s="1043">
        <f>SUM(N179:N190)</f>
        <v>19000000</v>
      </c>
      <c r="O191" s="978">
        <f>SUM(O179:O190)</f>
        <v>19000000</v>
      </c>
      <c r="P191" s="1043">
        <f>SUM(P179:P190)</f>
        <v>1583340</v>
      </c>
      <c r="Q191" s="1043">
        <f>SUM(Q179:Q190)</f>
        <v>693000</v>
      </c>
      <c r="R191" s="1043">
        <f>SUM(R179:R190)</f>
        <v>633650</v>
      </c>
      <c r="S191" s="1043">
        <f t="shared" ref="S191:U191" si="301">SUM(S179:S190)</f>
        <v>65030</v>
      </c>
      <c r="T191" s="1043">
        <f t="shared" si="301"/>
        <v>161700</v>
      </c>
      <c r="U191" s="1043">
        <f t="shared" si="301"/>
        <v>123200</v>
      </c>
      <c r="V191" s="1043">
        <f t="shared" ref="V191" si="302">SUM(V179:V190)</f>
        <v>1676580</v>
      </c>
      <c r="W191" s="978">
        <f>SUM(W179:W190)</f>
        <v>3259920</v>
      </c>
      <c r="X191" s="979">
        <f>SUM(X179:X190)</f>
        <v>22259920</v>
      </c>
      <c r="Y191" s="126"/>
      <c r="Z191" s="126"/>
      <c r="AA191" s="126"/>
      <c r="AB191" s="126">
        <f>SUM(AB162:AB188)</f>
        <v>0</v>
      </c>
    </row>
    <row r="192" spans="1:28" s="13" customFormat="1">
      <c r="G192" s="45"/>
    </row>
    <row r="193" spans="1:28" s="13" customFormat="1">
      <c r="G193" s="45"/>
    </row>
    <row r="195" spans="1:28" s="13" customFormat="1" ht="17.25">
      <c r="A195" s="1413" t="s">
        <v>1071</v>
      </c>
      <c r="B195" s="1413"/>
      <c r="C195" s="1413"/>
      <c r="D195" s="1413"/>
      <c r="E195" s="1413"/>
      <c r="F195" s="1413"/>
      <c r="G195" s="1413"/>
      <c r="H195" s="1413"/>
      <c r="I195" s="1413"/>
      <c r="J195" s="1413"/>
      <c r="K195" s="1413"/>
      <c r="L195" s="1413"/>
      <c r="M195" s="1413"/>
      <c r="N195" s="1413"/>
      <c r="O195" s="1413"/>
      <c r="P195" s="1413"/>
      <c r="Q195" s="1413"/>
      <c r="R195" s="1413"/>
      <c r="S195" s="1413"/>
      <c r="T195" s="1413"/>
      <c r="U195" s="1413"/>
      <c r="V195" s="1413"/>
      <c r="W195" s="1413"/>
      <c r="X195" s="1413"/>
      <c r="Y195" s="1413"/>
      <c r="Z195" s="1413"/>
      <c r="AA195" s="1413"/>
      <c r="AB195" s="1413"/>
    </row>
    <row r="196" spans="1:28" s="13" customFormat="1" ht="16.5" customHeight="1">
      <c r="A196" s="1408" t="s">
        <v>1076</v>
      </c>
      <c r="B196" s="1409"/>
      <c r="C196" s="1409"/>
      <c r="D196" s="1207"/>
      <c r="E196" s="1207"/>
      <c r="F196" s="30"/>
      <c r="G196" s="44"/>
      <c r="H196" s="30"/>
      <c r="I196" s="30"/>
      <c r="J196" s="30"/>
      <c r="K196" s="30"/>
      <c r="L196" s="30"/>
      <c r="M196" s="30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  <c r="AA196" s="30"/>
      <c r="AB196" s="30"/>
    </row>
    <row r="197" spans="1:28" s="13" customFormat="1" ht="20.25" customHeight="1">
      <c r="A197" s="1424" t="s">
        <v>47</v>
      </c>
      <c r="B197" s="1424" t="s">
        <v>48</v>
      </c>
      <c r="C197" s="1424" t="s">
        <v>73</v>
      </c>
      <c r="D197" s="1424" t="s">
        <v>179</v>
      </c>
      <c r="E197" s="998"/>
      <c r="F197" s="1424" t="s">
        <v>49</v>
      </c>
      <c r="G197" s="1426" t="s">
        <v>173</v>
      </c>
      <c r="H197" s="1426" t="s">
        <v>75</v>
      </c>
      <c r="I197" s="1428" t="s">
        <v>63</v>
      </c>
      <c r="J197" s="1429"/>
      <c r="K197" s="1429"/>
      <c r="L197" s="1429"/>
      <c r="M197" s="1429"/>
      <c r="N197" s="1429"/>
      <c r="O197" s="1430"/>
      <c r="P197" s="1431" t="s">
        <v>54</v>
      </c>
      <c r="Q197" s="1431" t="s">
        <v>168</v>
      </c>
      <c r="R197" s="1418" t="s">
        <v>868</v>
      </c>
      <c r="S197" s="1418" t="s">
        <v>869</v>
      </c>
      <c r="T197" s="1418" t="s">
        <v>870</v>
      </c>
      <c r="U197" s="1418" t="s">
        <v>871</v>
      </c>
      <c r="V197" s="1431" t="s">
        <v>283</v>
      </c>
      <c r="W197" s="1431" t="s">
        <v>180</v>
      </c>
      <c r="X197" s="1426" t="s">
        <v>72</v>
      </c>
      <c r="Y197" s="1428" t="s">
        <v>69</v>
      </c>
      <c r="Z197" s="1429"/>
      <c r="AA197" s="1430"/>
      <c r="AB197" s="1426" t="s">
        <v>50</v>
      </c>
    </row>
    <row r="198" spans="1:28" s="13" customFormat="1" ht="30" customHeight="1">
      <c r="A198" s="1425"/>
      <c r="B198" s="1425"/>
      <c r="C198" s="1425"/>
      <c r="D198" s="1425"/>
      <c r="E198" s="999"/>
      <c r="F198" s="1425"/>
      <c r="G198" s="1427"/>
      <c r="H198" s="1427"/>
      <c r="I198" s="17" t="s">
        <v>515</v>
      </c>
      <c r="J198" s="17" t="s">
        <v>165</v>
      </c>
      <c r="K198" s="17" t="s">
        <v>178</v>
      </c>
      <c r="L198" s="17" t="s">
        <v>166</v>
      </c>
      <c r="M198" s="18" t="s">
        <v>167</v>
      </c>
      <c r="N198" s="18" t="s">
        <v>284</v>
      </c>
      <c r="O198" s="17" t="s">
        <v>64</v>
      </c>
      <c r="P198" s="1432"/>
      <c r="Q198" s="1432"/>
      <c r="R198" s="1419"/>
      <c r="S198" s="1419"/>
      <c r="T198" s="1419"/>
      <c r="U198" s="1419"/>
      <c r="V198" s="1432"/>
      <c r="W198" s="1432"/>
      <c r="X198" s="1427"/>
      <c r="Y198" s="50" t="s">
        <v>281</v>
      </c>
      <c r="Z198" s="50" t="s">
        <v>282</v>
      </c>
      <c r="AA198" s="1000" t="s">
        <v>70</v>
      </c>
      <c r="AB198" s="1427"/>
    </row>
    <row r="199" spans="1:28" s="13" customFormat="1" ht="24" customHeight="1">
      <c r="A199" s="1434">
        <v>1</v>
      </c>
      <c r="B199" s="1436" t="s">
        <v>210</v>
      </c>
      <c r="C199" s="1436" t="s">
        <v>835</v>
      </c>
      <c r="D199" s="1436"/>
      <c r="E199" s="47">
        <v>1</v>
      </c>
      <c r="F199" s="20"/>
      <c r="G199" s="980">
        <v>3000000</v>
      </c>
      <c r="H199" s="981">
        <f>G199*E199</f>
        <v>3000000</v>
      </c>
      <c r="I199" s="982"/>
      <c r="J199" s="983"/>
      <c r="K199" s="984"/>
      <c r="L199" s="985"/>
      <c r="M199" s="985"/>
      <c r="N199" s="985"/>
      <c r="O199" s="986">
        <f>SUM(I199,J199,L199,M199,N199)</f>
        <v>0</v>
      </c>
      <c r="P199" s="970">
        <f t="shared" ref="P199" si="303">ROUNDUP((H199+I199+J199+L199+M199+N199)*1/12,-1)</f>
        <v>250000</v>
      </c>
      <c r="Q199" s="987">
        <f>ROUND((H199+O199)*4.5%,-1)</f>
        <v>135000</v>
      </c>
      <c r="R199" s="987">
        <f>ROUNDUP((H199+O199)*3.335%,-1)</f>
        <v>100050</v>
      </c>
      <c r="S199" s="987">
        <f>ROUNDUP(R199*10.25%,-1)</f>
        <v>10260</v>
      </c>
      <c r="T199" s="987">
        <f>ROUND((H199+O199)*1.05%,-1)</f>
        <v>31500</v>
      </c>
      <c r="U199" s="987">
        <f>ROUND((H199+O199)*0.8%,-1)</f>
        <v>24000</v>
      </c>
      <c r="V199" s="985">
        <f>SUM(Q199:U199)</f>
        <v>300810</v>
      </c>
      <c r="W199" s="988">
        <f>SUM(P199,V199)</f>
        <v>550810</v>
      </c>
      <c r="X199" s="1438">
        <f>SUM(W199,W200,O199,O200,H199,H200)</f>
        <v>3550810</v>
      </c>
      <c r="Y199" s="989"/>
      <c r="Z199" s="989"/>
      <c r="AA199" s="989">
        <f>Z199+Y199</f>
        <v>0</v>
      </c>
      <c r="AB199" s="1434"/>
    </row>
    <row r="200" spans="1:28" s="13" customFormat="1" ht="24" customHeight="1">
      <c r="A200" s="1435"/>
      <c r="B200" s="1437"/>
      <c r="C200" s="1437"/>
      <c r="D200" s="1437"/>
      <c r="E200" s="48"/>
      <c r="F200" s="20"/>
      <c r="G200" s="980"/>
      <c r="H200" s="981">
        <f>G200*E200</f>
        <v>0</v>
      </c>
      <c r="I200" s="982">
        <f>G200*60%</f>
        <v>0</v>
      </c>
      <c r="J200" s="983"/>
      <c r="K200" s="990">
        <f>ROUND(G200*1/209*1.5,-1)</f>
        <v>0</v>
      </c>
      <c r="L200" s="985">
        <f>(K200*40)*E200</f>
        <v>0</v>
      </c>
      <c r="M200" s="985"/>
      <c r="N200" s="985"/>
      <c r="O200" s="986">
        <f>SUM(I200,J200,L200,M200,N200)</f>
        <v>0</v>
      </c>
      <c r="P200" s="991">
        <f>ROUNDUP((O200+H200)*1/12,-1)</f>
        <v>0</v>
      </c>
      <c r="Q200" s="987">
        <f>ROUND((H200+O200)*4.5%,-1)</f>
        <v>0</v>
      </c>
      <c r="R200" s="987">
        <f>ROUNDUP((H200+O200)*3.335%,-1)</f>
        <v>0</v>
      </c>
      <c r="S200" s="987">
        <f>ROUNDUP(R200*10.25%,-1)</f>
        <v>0</v>
      </c>
      <c r="T200" s="987">
        <f>ROUND((H200+O200)*1.05%,-1)</f>
        <v>0</v>
      </c>
      <c r="U200" s="987">
        <f>ROUND((H200+O200)*0.8%,-1)</f>
        <v>0</v>
      </c>
      <c r="V200" s="985">
        <f>SUM(Q200:U200)</f>
        <v>0</v>
      </c>
      <c r="W200" s="988">
        <f>SUM(P200,V200)</f>
        <v>0</v>
      </c>
      <c r="X200" s="1439"/>
      <c r="Y200" s="992"/>
      <c r="Z200" s="992"/>
      <c r="AA200" s="992"/>
      <c r="AB200" s="1435"/>
    </row>
    <row r="201" spans="1:28" s="127" customFormat="1" ht="35.1" customHeight="1">
      <c r="A201" s="1410" t="s">
        <v>383</v>
      </c>
      <c r="B201" s="1411"/>
      <c r="C201" s="1411"/>
      <c r="D201" s="1411"/>
      <c r="E201" s="1411"/>
      <c r="F201" s="1411"/>
      <c r="G201" s="1412"/>
      <c r="H201" s="128">
        <f>SUM(H199:H200)</f>
        <v>3000000</v>
      </c>
      <c r="I201" s="993">
        <f>SUM(I199:I200)</f>
        <v>0</v>
      </c>
      <c r="J201" s="993">
        <f>SUM(J199:J200)</f>
        <v>0</v>
      </c>
      <c r="K201" s="993"/>
      <c r="L201" s="993">
        <f>SUM(L199:L200)</f>
        <v>0</v>
      </c>
      <c r="M201" s="993">
        <f>SUM(M199:M200)</f>
        <v>0</v>
      </c>
      <c r="N201" s="993"/>
      <c r="O201" s="994">
        <f t="shared" ref="O201:AA201" si="304">SUM(O199:O200)</f>
        <v>0</v>
      </c>
      <c r="P201" s="993">
        <f t="shared" si="304"/>
        <v>250000</v>
      </c>
      <c r="Q201" s="993">
        <f t="shared" si="304"/>
        <v>135000</v>
      </c>
      <c r="R201" s="993">
        <f t="shared" si="304"/>
        <v>100050</v>
      </c>
      <c r="S201" s="993">
        <f t="shared" si="304"/>
        <v>10260</v>
      </c>
      <c r="T201" s="993">
        <f t="shared" si="304"/>
        <v>31500</v>
      </c>
      <c r="U201" s="993">
        <f t="shared" si="304"/>
        <v>24000</v>
      </c>
      <c r="V201" s="993">
        <f t="shared" si="304"/>
        <v>300810</v>
      </c>
      <c r="W201" s="994">
        <f t="shared" si="304"/>
        <v>550810</v>
      </c>
      <c r="X201" s="995">
        <f t="shared" si="304"/>
        <v>3550810</v>
      </c>
      <c r="Y201" s="993">
        <f t="shared" si="304"/>
        <v>0</v>
      </c>
      <c r="Z201" s="993">
        <f t="shared" si="304"/>
        <v>0</v>
      </c>
      <c r="AA201" s="993">
        <f t="shared" si="304"/>
        <v>0</v>
      </c>
      <c r="AB201" s="126"/>
    </row>
    <row r="202" spans="1:28" s="129" customFormat="1" ht="36" customHeight="1">
      <c r="A202" s="1433" t="s">
        <v>1077</v>
      </c>
      <c r="B202" s="1433"/>
      <c r="C202" s="1433"/>
      <c r="D202" s="1433"/>
      <c r="E202" s="1433"/>
      <c r="F202" s="1433"/>
      <c r="G202" s="1433"/>
      <c r="H202" s="1044">
        <f>H123+H136+H169+H191+H201</f>
        <v>1687166000</v>
      </c>
      <c r="I202" s="1044">
        <f>I123+I136+I169+I191+I201</f>
        <v>164080200</v>
      </c>
      <c r="J202" s="1044">
        <f>J123+J136+J169+J191+J201</f>
        <v>24500000</v>
      </c>
      <c r="K202" s="1044">
        <f>K123+K136+K169+K191+K201</f>
        <v>0</v>
      </c>
      <c r="L202" s="1044">
        <f>L123+L136+L169+L191+L201</f>
        <v>361436600</v>
      </c>
      <c r="M202" s="1044">
        <f>M123+M136+M169+M191+M201</f>
        <v>28326250</v>
      </c>
      <c r="N202" s="1044">
        <f>N123+N136+N169+N191+N201</f>
        <v>19000000</v>
      </c>
      <c r="O202" s="1044">
        <f>O123+O136+O169+O191+O201</f>
        <v>597343050</v>
      </c>
      <c r="P202" s="1044">
        <f>P123+P136+P169+P191+P201</f>
        <v>187840130</v>
      </c>
      <c r="Q202" s="1044">
        <f>Q123+Q136+Q169+Q191+Q201</f>
        <v>98681040</v>
      </c>
      <c r="R202" s="1044">
        <f>R123+R136+R169+R191+R201</f>
        <v>75174130</v>
      </c>
      <c r="S202" s="1044">
        <f>S123+S136+S169+S191+S201</f>
        <v>7706030</v>
      </c>
      <c r="T202" s="1044">
        <f>T123+T136+T169+T191+T201</f>
        <v>23025520</v>
      </c>
      <c r="U202" s="1044">
        <f>U123+U136+U169+U191+U201</f>
        <v>17543300</v>
      </c>
      <c r="V202" s="1044">
        <f>V123+V136+V169+V191+V201</f>
        <v>222130020</v>
      </c>
      <c r="W202" s="1044">
        <f>W123+W136+W169+W191+W201</f>
        <v>409970150</v>
      </c>
      <c r="X202" s="1044">
        <f>X123+X136+X169+X191+X201</f>
        <v>2694479200</v>
      </c>
      <c r="Y202" s="1044">
        <f>Y123+Y136+Y169+Y191+Y201</f>
        <v>163700000</v>
      </c>
      <c r="Z202" s="1044">
        <f>Z123+Z136+Z169+Z191+Z201</f>
        <v>35650000</v>
      </c>
      <c r="AA202" s="1044">
        <f>AA123+AA136+AA169+AA191+AA201</f>
        <v>196850000</v>
      </c>
      <c r="AB202" s="1044">
        <f>AB123+AB136+AB169+AB191+AB201</f>
        <v>0</v>
      </c>
    </row>
  </sheetData>
  <mergeCells count="561">
    <mergeCell ref="X101:X102"/>
    <mergeCell ref="AB101:AB102"/>
    <mergeCell ref="A123:G123"/>
    <mergeCell ref="A101:A102"/>
    <mergeCell ref="B101:B102"/>
    <mergeCell ref="C101:C102"/>
    <mergeCell ref="D101:D102"/>
    <mergeCell ref="X83:X84"/>
    <mergeCell ref="AB83:AB84"/>
    <mergeCell ref="A99:A100"/>
    <mergeCell ref="B99:B100"/>
    <mergeCell ref="C99:C100"/>
    <mergeCell ref="D99:D100"/>
    <mergeCell ref="X99:X100"/>
    <mergeCell ref="AB99:AB100"/>
    <mergeCell ref="A83:A84"/>
    <mergeCell ref="B83:B84"/>
    <mergeCell ref="C83:C84"/>
    <mergeCell ref="D83:D84"/>
    <mergeCell ref="X109:X110"/>
    <mergeCell ref="AB109:AB110"/>
    <mergeCell ref="A107:A108"/>
    <mergeCell ref="B107:B108"/>
    <mergeCell ref="C107:C108"/>
    <mergeCell ref="D107:D108"/>
    <mergeCell ref="X107:X108"/>
    <mergeCell ref="AB107:AB108"/>
    <mergeCell ref="A109:A110"/>
    <mergeCell ref="B109:B110"/>
    <mergeCell ref="C109:C110"/>
    <mergeCell ref="D109:D110"/>
    <mergeCell ref="X117:X118"/>
    <mergeCell ref="AB117:AB118"/>
    <mergeCell ref="X111:X112"/>
    <mergeCell ref="AB111:AB112"/>
    <mergeCell ref="D111:D112"/>
    <mergeCell ref="A117:A118"/>
    <mergeCell ref="B117:B118"/>
    <mergeCell ref="C117:C118"/>
    <mergeCell ref="D117:D118"/>
    <mergeCell ref="A103:A104"/>
    <mergeCell ref="B103:B104"/>
    <mergeCell ref="C103:C104"/>
    <mergeCell ref="D103:D104"/>
    <mergeCell ref="X103:X104"/>
    <mergeCell ref="AB103:AB104"/>
    <mergeCell ref="A105:A106"/>
    <mergeCell ref="B105:B106"/>
    <mergeCell ref="C105:C106"/>
    <mergeCell ref="D105:D106"/>
    <mergeCell ref="X105:X106"/>
    <mergeCell ref="AB105:AB106"/>
    <mergeCell ref="D39:D40"/>
    <mergeCell ref="AB19:AB20"/>
    <mergeCell ref="AB21:AB22"/>
    <mergeCell ref="AB23:AB24"/>
    <mergeCell ref="A15:A16"/>
    <mergeCell ref="B15:B16"/>
    <mergeCell ref="C15:C16"/>
    <mergeCell ref="D15:D16"/>
    <mergeCell ref="X15:X16"/>
    <mergeCell ref="AB15:AB16"/>
    <mergeCell ref="A21:A22"/>
    <mergeCell ref="B21:B22"/>
    <mergeCell ref="C21:C22"/>
    <mergeCell ref="D21:D22"/>
    <mergeCell ref="D19:D20"/>
    <mergeCell ref="D23:D24"/>
    <mergeCell ref="AB17:AB18"/>
    <mergeCell ref="A25:A26"/>
    <mergeCell ref="A27:A28"/>
    <mergeCell ref="B25:B26"/>
    <mergeCell ref="B27:B28"/>
    <mergeCell ref="X33:X34"/>
    <mergeCell ref="AB33:AB34"/>
    <mergeCell ref="X35:X36"/>
    <mergeCell ref="A75:A76"/>
    <mergeCell ref="B75:B76"/>
    <mergeCell ref="C75:C76"/>
    <mergeCell ref="A73:A74"/>
    <mergeCell ref="D41:D42"/>
    <mergeCell ref="D43:D44"/>
    <mergeCell ref="D45:D46"/>
    <mergeCell ref="D47:D48"/>
    <mergeCell ref="D49:D50"/>
    <mergeCell ref="B73:B74"/>
    <mergeCell ref="C73:C74"/>
    <mergeCell ref="A69:A70"/>
    <mergeCell ref="B69:B70"/>
    <mergeCell ref="C69:C70"/>
    <mergeCell ref="A65:A66"/>
    <mergeCell ref="B65:B66"/>
    <mergeCell ref="C65:C66"/>
    <mergeCell ref="A61:A62"/>
    <mergeCell ref="B61:B62"/>
    <mergeCell ref="C61:C62"/>
    <mergeCell ref="A57:A58"/>
    <mergeCell ref="B57:B58"/>
    <mergeCell ref="C57:C58"/>
    <mergeCell ref="A53:A54"/>
    <mergeCell ref="X93:X94"/>
    <mergeCell ref="AB93:AB94"/>
    <mergeCell ref="D93:D94"/>
    <mergeCell ref="A91:A92"/>
    <mergeCell ref="B91:B92"/>
    <mergeCell ref="C91:C92"/>
    <mergeCell ref="X91:X92"/>
    <mergeCell ref="AB91:AB92"/>
    <mergeCell ref="D91:D92"/>
    <mergeCell ref="A93:A94"/>
    <mergeCell ref="B93:B94"/>
    <mergeCell ref="C93:C94"/>
    <mergeCell ref="X89:X90"/>
    <mergeCell ref="AB89:AB90"/>
    <mergeCell ref="D89:D90"/>
    <mergeCell ref="A87:A88"/>
    <mergeCell ref="B87:B88"/>
    <mergeCell ref="C87:C88"/>
    <mergeCell ref="X87:X88"/>
    <mergeCell ref="AB87:AB88"/>
    <mergeCell ref="D87:D88"/>
    <mergeCell ref="A89:A90"/>
    <mergeCell ref="B89:B90"/>
    <mergeCell ref="C89:C90"/>
    <mergeCell ref="X85:X86"/>
    <mergeCell ref="AB85:AB86"/>
    <mergeCell ref="D85:D86"/>
    <mergeCell ref="A81:A82"/>
    <mergeCell ref="B81:B82"/>
    <mergeCell ref="C81:C82"/>
    <mergeCell ref="X81:X82"/>
    <mergeCell ref="AB81:AB82"/>
    <mergeCell ref="D81:D82"/>
    <mergeCell ref="A85:A86"/>
    <mergeCell ref="B85:B86"/>
    <mergeCell ref="C85:C86"/>
    <mergeCell ref="X79:X80"/>
    <mergeCell ref="AB79:AB80"/>
    <mergeCell ref="D79:D80"/>
    <mergeCell ref="A77:A78"/>
    <mergeCell ref="B77:B78"/>
    <mergeCell ref="C77:C78"/>
    <mergeCell ref="X77:X78"/>
    <mergeCell ref="AB77:AB78"/>
    <mergeCell ref="D77:D78"/>
    <mergeCell ref="A79:A80"/>
    <mergeCell ref="B79:B80"/>
    <mergeCell ref="C79:C80"/>
    <mergeCell ref="X75:X76"/>
    <mergeCell ref="AB75:AB76"/>
    <mergeCell ref="D75:D76"/>
    <mergeCell ref="A111:A112"/>
    <mergeCell ref="A119:A120"/>
    <mergeCell ref="B119:B120"/>
    <mergeCell ref="C119:C120"/>
    <mergeCell ref="X119:X120"/>
    <mergeCell ref="AB119:AB120"/>
    <mergeCell ref="D119:D120"/>
    <mergeCell ref="A115:A116"/>
    <mergeCell ref="B115:B116"/>
    <mergeCell ref="C115:C116"/>
    <mergeCell ref="X115:X116"/>
    <mergeCell ref="AB115:AB116"/>
    <mergeCell ref="D115:D116"/>
    <mergeCell ref="A113:A114"/>
    <mergeCell ref="B113:B114"/>
    <mergeCell ref="C113:C114"/>
    <mergeCell ref="X113:X114"/>
    <mergeCell ref="AB113:AB114"/>
    <mergeCell ref="D113:D114"/>
    <mergeCell ref="B111:B112"/>
    <mergeCell ref="C111:C112"/>
    <mergeCell ref="A97:A98"/>
    <mergeCell ref="B97:B98"/>
    <mergeCell ref="C97:C98"/>
    <mergeCell ref="X97:X98"/>
    <mergeCell ref="AB97:AB98"/>
    <mergeCell ref="D97:D98"/>
    <mergeCell ref="A95:A96"/>
    <mergeCell ref="B95:B96"/>
    <mergeCell ref="C95:C96"/>
    <mergeCell ref="X95:X96"/>
    <mergeCell ref="AB95:AB96"/>
    <mergeCell ref="D95:D96"/>
    <mergeCell ref="X73:X74"/>
    <mergeCell ref="AB73:AB74"/>
    <mergeCell ref="D73:D74"/>
    <mergeCell ref="A71:A72"/>
    <mergeCell ref="B71:B72"/>
    <mergeCell ref="C71:C72"/>
    <mergeCell ref="X71:X72"/>
    <mergeCell ref="AB71:AB72"/>
    <mergeCell ref="D71:D72"/>
    <mergeCell ref="X69:X70"/>
    <mergeCell ref="AB69:AB70"/>
    <mergeCell ref="D69:D70"/>
    <mergeCell ref="A67:A68"/>
    <mergeCell ref="B67:B68"/>
    <mergeCell ref="C67:C68"/>
    <mergeCell ref="X67:X68"/>
    <mergeCell ref="AB67:AB68"/>
    <mergeCell ref="D67:D68"/>
    <mergeCell ref="X65:X66"/>
    <mergeCell ref="AB65:AB66"/>
    <mergeCell ref="D65:D66"/>
    <mergeCell ref="A63:A64"/>
    <mergeCell ref="B63:B64"/>
    <mergeCell ref="C63:C64"/>
    <mergeCell ref="X63:X64"/>
    <mergeCell ref="AB63:AB64"/>
    <mergeCell ref="D63:D64"/>
    <mergeCell ref="X61:X62"/>
    <mergeCell ref="AB61:AB62"/>
    <mergeCell ref="D61:D62"/>
    <mergeCell ref="A59:A60"/>
    <mergeCell ref="B59:B60"/>
    <mergeCell ref="C59:C60"/>
    <mergeCell ref="X59:X60"/>
    <mergeCell ref="AB59:AB60"/>
    <mergeCell ref="D59:D60"/>
    <mergeCell ref="X57:X58"/>
    <mergeCell ref="AB57:AB58"/>
    <mergeCell ref="D57:D58"/>
    <mergeCell ref="A55:A56"/>
    <mergeCell ref="B55:B56"/>
    <mergeCell ref="C55:C56"/>
    <mergeCell ref="X55:X56"/>
    <mergeCell ref="AB55:AB56"/>
    <mergeCell ref="D55:D56"/>
    <mergeCell ref="B53:B54"/>
    <mergeCell ref="C53:C54"/>
    <mergeCell ref="X53:X54"/>
    <mergeCell ref="AB53:AB54"/>
    <mergeCell ref="D53:D54"/>
    <mergeCell ref="A51:A52"/>
    <mergeCell ref="B51:B52"/>
    <mergeCell ref="C51:C52"/>
    <mergeCell ref="X51:X52"/>
    <mergeCell ref="AB51:AB52"/>
    <mergeCell ref="D51:D52"/>
    <mergeCell ref="A43:A44"/>
    <mergeCell ref="B43:B44"/>
    <mergeCell ref="C43:C44"/>
    <mergeCell ref="X43:X44"/>
    <mergeCell ref="AB43:AB44"/>
    <mergeCell ref="A49:A50"/>
    <mergeCell ref="B49:B50"/>
    <mergeCell ref="C49:C50"/>
    <mergeCell ref="X49:X50"/>
    <mergeCell ref="AB49:AB50"/>
    <mergeCell ref="A47:A48"/>
    <mergeCell ref="B47:B48"/>
    <mergeCell ref="C47:C48"/>
    <mergeCell ref="X47:X48"/>
    <mergeCell ref="AB47:AB48"/>
    <mergeCell ref="A121:A122"/>
    <mergeCell ref="B121:B122"/>
    <mergeCell ref="C121:C122"/>
    <mergeCell ref="X121:X122"/>
    <mergeCell ref="AB121:AB122"/>
    <mergeCell ref="D121:D122"/>
    <mergeCell ref="C37:C38"/>
    <mergeCell ref="C39:C40"/>
    <mergeCell ref="C41:C42"/>
    <mergeCell ref="X41:X42"/>
    <mergeCell ref="AB41:AB42"/>
    <mergeCell ref="X39:X40"/>
    <mergeCell ref="AB39:AB40"/>
    <mergeCell ref="B37:B38"/>
    <mergeCell ref="A37:A38"/>
    <mergeCell ref="A39:A40"/>
    <mergeCell ref="B39:B40"/>
    <mergeCell ref="A41:A42"/>
    <mergeCell ref="B41:B42"/>
    <mergeCell ref="A45:A46"/>
    <mergeCell ref="B45:B46"/>
    <mergeCell ref="C45:C46"/>
    <mergeCell ref="X45:X46"/>
    <mergeCell ref="AB45:AB46"/>
    <mergeCell ref="C33:C34"/>
    <mergeCell ref="C35:C36"/>
    <mergeCell ref="C7:C8"/>
    <mergeCell ref="C9:C10"/>
    <mergeCell ref="C11:C12"/>
    <mergeCell ref="C13:C14"/>
    <mergeCell ref="C17:C18"/>
    <mergeCell ref="C19:C20"/>
    <mergeCell ref="C23:C24"/>
    <mergeCell ref="C25:C26"/>
    <mergeCell ref="X37:X38"/>
    <mergeCell ref="AB37:AB38"/>
    <mergeCell ref="X29:X30"/>
    <mergeCell ref="AB29:AB30"/>
    <mergeCell ref="X31:X32"/>
    <mergeCell ref="AB31:AB32"/>
    <mergeCell ref="D25:D26"/>
    <mergeCell ref="D27:D28"/>
    <mergeCell ref="D29:D30"/>
    <mergeCell ref="D31:D32"/>
    <mergeCell ref="D33:D34"/>
    <mergeCell ref="D35:D36"/>
    <mergeCell ref="D37:D38"/>
    <mergeCell ref="AB25:AB26"/>
    <mergeCell ref="X27:X28"/>
    <mergeCell ref="AB27:AB28"/>
    <mergeCell ref="X25:X26"/>
    <mergeCell ref="X7:X8"/>
    <mergeCell ref="X9:X10"/>
    <mergeCell ref="X11:X12"/>
    <mergeCell ref="X13:X14"/>
    <mergeCell ref="X17:X18"/>
    <mergeCell ref="C27:C28"/>
    <mergeCell ref="C29:C30"/>
    <mergeCell ref="C31:C32"/>
    <mergeCell ref="A7:A8"/>
    <mergeCell ref="B7:B8"/>
    <mergeCell ref="A9:A10"/>
    <mergeCell ref="B9:B10"/>
    <mergeCell ref="A11:A12"/>
    <mergeCell ref="B11:B12"/>
    <mergeCell ref="A13:A14"/>
    <mergeCell ref="B13:B14"/>
    <mergeCell ref="X19:X20"/>
    <mergeCell ref="X21:X22"/>
    <mergeCell ref="X23:X24"/>
    <mergeCell ref="B35:B36"/>
    <mergeCell ref="A33:A34"/>
    <mergeCell ref="B33:B34"/>
    <mergeCell ref="A5:A6"/>
    <mergeCell ref="B5:B6"/>
    <mergeCell ref="A19:A20"/>
    <mergeCell ref="B19:B20"/>
    <mergeCell ref="A23:A24"/>
    <mergeCell ref="B23:B24"/>
    <mergeCell ref="A29:A30"/>
    <mergeCell ref="B29:B30"/>
    <mergeCell ref="B31:B32"/>
    <mergeCell ref="A1:AB1"/>
    <mergeCell ref="A3:A4"/>
    <mergeCell ref="B3:B4"/>
    <mergeCell ref="F3:F4"/>
    <mergeCell ref="H3:H4"/>
    <mergeCell ref="I3:O3"/>
    <mergeCell ref="P3:P4"/>
    <mergeCell ref="V3:V4"/>
    <mergeCell ref="X3:X4"/>
    <mergeCell ref="Q3:Q4"/>
    <mergeCell ref="R3:R4"/>
    <mergeCell ref="S3:S4"/>
    <mergeCell ref="T3:T4"/>
    <mergeCell ref="U3:U4"/>
    <mergeCell ref="G3:G4"/>
    <mergeCell ref="D3:D4"/>
    <mergeCell ref="AB3:AB4"/>
    <mergeCell ref="W3:W4"/>
    <mergeCell ref="Y3:AA3"/>
    <mergeCell ref="C3:C4"/>
    <mergeCell ref="C2:E2"/>
    <mergeCell ref="A2:B2"/>
    <mergeCell ref="A130:A131"/>
    <mergeCell ref="B130:B131"/>
    <mergeCell ref="C130:C131"/>
    <mergeCell ref="D130:D131"/>
    <mergeCell ref="X130:X131"/>
    <mergeCell ref="AB130:AB131"/>
    <mergeCell ref="D13:D14"/>
    <mergeCell ref="D17:D18"/>
    <mergeCell ref="AB5:AB6"/>
    <mergeCell ref="AB7:AB8"/>
    <mergeCell ref="AB9:AB10"/>
    <mergeCell ref="AB11:AB12"/>
    <mergeCell ref="AB13:AB14"/>
    <mergeCell ref="AB35:AB36"/>
    <mergeCell ref="X5:X6"/>
    <mergeCell ref="C5:C6"/>
    <mergeCell ref="D5:D6"/>
    <mergeCell ref="D7:D8"/>
    <mergeCell ref="D9:D10"/>
    <mergeCell ref="D11:D12"/>
    <mergeCell ref="B17:B18"/>
    <mergeCell ref="A17:A18"/>
    <mergeCell ref="A31:A32"/>
    <mergeCell ref="A35:A36"/>
    <mergeCell ref="A132:A133"/>
    <mergeCell ref="B132:B133"/>
    <mergeCell ref="C132:C133"/>
    <mergeCell ref="D132:D133"/>
    <mergeCell ref="X132:X133"/>
    <mergeCell ref="AB132:AB133"/>
    <mergeCell ref="A134:A135"/>
    <mergeCell ref="B134:B135"/>
    <mergeCell ref="C134:C135"/>
    <mergeCell ref="D134:D135"/>
    <mergeCell ref="X134:X135"/>
    <mergeCell ref="AB134:AB135"/>
    <mergeCell ref="A145:A146"/>
    <mergeCell ref="B145:B146"/>
    <mergeCell ref="C145:C146"/>
    <mergeCell ref="D145:D146"/>
    <mergeCell ref="AB145:AB146"/>
    <mergeCell ref="A147:A148"/>
    <mergeCell ref="B147:B148"/>
    <mergeCell ref="C147:C148"/>
    <mergeCell ref="D147:D148"/>
    <mergeCell ref="AB147:AB148"/>
    <mergeCell ref="X145:X146"/>
    <mergeCell ref="X147:X148"/>
    <mergeCell ref="A149:A150"/>
    <mergeCell ref="B149:B150"/>
    <mergeCell ref="C149:C150"/>
    <mergeCell ref="D149:D150"/>
    <mergeCell ref="X149:X150"/>
    <mergeCell ref="AB149:AB150"/>
    <mergeCell ref="A151:A152"/>
    <mergeCell ref="B151:B152"/>
    <mergeCell ref="C151:C152"/>
    <mergeCell ref="D151:D152"/>
    <mergeCell ref="X151:X152"/>
    <mergeCell ref="AB151:AB152"/>
    <mergeCell ref="Y128:AA128"/>
    <mergeCell ref="AB128:AB129"/>
    <mergeCell ref="A127:C127"/>
    <mergeCell ref="B163:B164"/>
    <mergeCell ref="C163:C164"/>
    <mergeCell ref="D163:D164"/>
    <mergeCell ref="AB163:AB164"/>
    <mergeCell ref="A159:A160"/>
    <mergeCell ref="B159:B160"/>
    <mergeCell ref="C159:C160"/>
    <mergeCell ref="D159:D160"/>
    <mergeCell ref="AB159:AB160"/>
    <mergeCell ref="A153:A154"/>
    <mergeCell ref="B153:B154"/>
    <mergeCell ref="C153:C154"/>
    <mergeCell ref="D153:D154"/>
    <mergeCell ref="X153:X154"/>
    <mergeCell ref="AB153:AB154"/>
    <mergeCell ref="A155:A156"/>
    <mergeCell ref="B155:B156"/>
    <mergeCell ref="C155:C156"/>
    <mergeCell ref="D155:D156"/>
    <mergeCell ref="X155:X156"/>
    <mergeCell ref="AB155:AB156"/>
    <mergeCell ref="Y143:AA143"/>
    <mergeCell ref="A143:A144"/>
    <mergeCell ref="B143:B144"/>
    <mergeCell ref="C143:C144"/>
    <mergeCell ref="D143:D144"/>
    <mergeCell ref="AB143:AB144"/>
    <mergeCell ref="A126:AB126"/>
    <mergeCell ref="A128:A129"/>
    <mergeCell ref="B128:B129"/>
    <mergeCell ref="C128:C129"/>
    <mergeCell ref="D128:D129"/>
    <mergeCell ref="F128:F129"/>
    <mergeCell ref="G128:G129"/>
    <mergeCell ref="H128:H129"/>
    <mergeCell ref="I128:O128"/>
    <mergeCell ref="P128:P129"/>
    <mergeCell ref="Q128:Q129"/>
    <mergeCell ref="R128:R129"/>
    <mergeCell ref="S128:S129"/>
    <mergeCell ref="T128:T129"/>
    <mergeCell ref="U128:U129"/>
    <mergeCell ref="V128:V129"/>
    <mergeCell ref="W128:W129"/>
    <mergeCell ref="X128:X129"/>
    <mergeCell ref="X165:X166"/>
    <mergeCell ref="AB165:AB166"/>
    <mergeCell ref="A161:A162"/>
    <mergeCell ref="B161:B162"/>
    <mergeCell ref="C161:C162"/>
    <mergeCell ref="D161:D162"/>
    <mergeCell ref="AB161:AB162"/>
    <mergeCell ref="A163:A164"/>
    <mergeCell ref="A136:G136"/>
    <mergeCell ref="A137:X137"/>
    <mergeCell ref="A141:AB141"/>
    <mergeCell ref="F143:F144"/>
    <mergeCell ref="G143:G144"/>
    <mergeCell ref="H143:H144"/>
    <mergeCell ref="I143:O143"/>
    <mergeCell ref="P143:P144"/>
    <mergeCell ref="Q143:Q144"/>
    <mergeCell ref="R143:R144"/>
    <mergeCell ref="S143:S144"/>
    <mergeCell ref="T143:T144"/>
    <mergeCell ref="U143:U144"/>
    <mergeCell ref="V143:V144"/>
    <mergeCell ref="W143:W144"/>
    <mergeCell ref="X143:X144"/>
    <mergeCell ref="A202:G202"/>
    <mergeCell ref="A199:A200"/>
    <mergeCell ref="B199:B200"/>
    <mergeCell ref="C199:C200"/>
    <mergeCell ref="D199:D200"/>
    <mergeCell ref="X199:X200"/>
    <mergeCell ref="AB199:AB200"/>
    <mergeCell ref="A201:G201"/>
    <mergeCell ref="A157:A158"/>
    <mergeCell ref="B157:B158"/>
    <mergeCell ref="C157:C158"/>
    <mergeCell ref="D157:D158"/>
    <mergeCell ref="X157:X158"/>
    <mergeCell ref="AB157:AB158"/>
    <mergeCell ref="A167:A168"/>
    <mergeCell ref="B167:B168"/>
    <mergeCell ref="C167:C168"/>
    <mergeCell ref="D167:D168"/>
    <mergeCell ref="X167:X168"/>
    <mergeCell ref="AB167:AB168"/>
    <mergeCell ref="A165:A166"/>
    <mergeCell ref="B165:B166"/>
    <mergeCell ref="C165:C166"/>
    <mergeCell ref="D165:D166"/>
    <mergeCell ref="I177:O177"/>
    <mergeCell ref="C176:E176"/>
    <mergeCell ref="A195:AB195"/>
    <mergeCell ref="A197:A198"/>
    <mergeCell ref="B197:B198"/>
    <mergeCell ref="C197:C198"/>
    <mergeCell ref="D197:D198"/>
    <mergeCell ref="F197:F198"/>
    <mergeCell ref="G197:G198"/>
    <mergeCell ref="H197:H198"/>
    <mergeCell ref="I197:O197"/>
    <mergeCell ref="P197:P198"/>
    <mergeCell ref="Q197:Q198"/>
    <mergeCell ref="R197:R198"/>
    <mergeCell ref="S197:S198"/>
    <mergeCell ref="V197:V198"/>
    <mergeCell ref="W197:W198"/>
    <mergeCell ref="X197:X198"/>
    <mergeCell ref="Y197:AA197"/>
    <mergeCell ref="AB197:AB198"/>
    <mergeCell ref="T197:T198"/>
    <mergeCell ref="U197:U198"/>
    <mergeCell ref="A142:D142"/>
    <mergeCell ref="A176:B176"/>
    <mergeCell ref="A196:C196"/>
    <mergeCell ref="A169:G169"/>
    <mergeCell ref="A175:AB175"/>
    <mergeCell ref="A177:A178"/>
    <mergeCell ref="B177:B178"/>
    <mergeCell ref="C177:C178"/>
    <mergeCell ref="D177:D178"/>
    <mergeCell ref="F177:F178"/>
    <mergeCell ref="G177:G178"/>
    <mergeCell ref="A191:G191"/>
    <mergeCell ref="V177:V178"/>
    <mergeCell ref="W177:W178"/>
    <mergeCell ref="X177:X178"/>
    <mergeCell ref="Y177:AA177"/>
    <mergeCell ref="AB177:AB178"/>
    <mergeCell ref="P177:P178"/>
    <mergeCell ref="Q177:Q178"/>
    <mergeCell ref="R177:R178"/>
    <mergeCell ref="S177:S178"/>
    <mergeCell ref="T177:T178"/>
    <mergeCell ref="U177:U178"/>
    <mergeCell ref="H177:H178"/>
  </mergeCells>
  <phoneticPr fontId="7" type="noConversion"/>
  <pageMargins left="0.23622047244094491" right="0.11811023622047245" top="0.27559055118110237" bottom="0.15748031496062992" header="0.23622047244094491" footer="0.11811023622047245"/>
  <pageSetup paperSize="9" scale="45" fitToHeight="0" orientation="landscape" horizontalDpi="4294967293" verticalDpi="4294967293" r:id="rId1"/>
  <colBreaks count="1" manualBreakCount="1">
    <brk id="28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0"/>
  <sheetViews>
    <sheetView zoomScaleNormal="100" workbookViewId="0">
      <selection activeCell="J19" sqref="J19"/>
    </sheetView>
  </sheetViews>
  <sheetFormatPr defaultRowHeight="13.5"/>
  <cols>
    <col min="1" max="4" width="9" style="13"/>
    <col min="5" max="5" width="16.75" style="13" customWidth="1"/>
    <col min="6" max="6" width="9" style="13" customWidth="1"/>
    <col min="7" max="7" width="10.125" style="13" customWidth="1"/>
    <col min="8" max="11" width="9" style="13" customWidth="1"/>
    <col min="12" max="12" width="9.875" style="13" customWidth="1"/>
    <col min="13" max="13" width="9" style="13" customWidth="1"/>
    <col min="14" max="14" width="15.375" style="13" customWidth="1"/>
    <col min="15" max="15" width="15.25" style="13" customWidth="1"/>
    <col min="16" max="16384" width="9" style="13"/>
  </cols>
  <sheetData>
    <row r="1" spans="1:15" ht="17.25">
      <c r="A1" s="1413" t="s">
        <v>1100</v>
      </c>
      <c r="B1" s="1413"/>
      <c r="C1" s="1413"/>
      <c r="D1" s="1413"/>
      <c r="E1" s="1413"/>
      <c r="F1" s="1413"/>
      <c r="G1" s="1413"/>
      <c r="H1" s="1413"/>
      <c r="I1" s="1413"/>
      <c r="J1" s="1413"/>
      <c r="K1" s="1413"/>
      <c r="L1" s="1413"/>
      <c r="M1" s="1413"/>
      <c r="N1" s="1413"/>
      <c r="O1" s="1413"/>
    </row>
    <row r="2" spans="1:15" ht="24.75" customHeight="1">
      <c r="A2" s="29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</row>
    <row r="3" spans="1:15" ht="20.25" customHeight="1">
      <c r="A3" s="1424" t="s">
        <v>47</v>
      </c>
      <c r="B3" s="1424" t="s">
        <v>48</v>
      </c>
      <c r="C3" s="1424" t="s">
        <v>74</v>
      </c>
      <c r="D3" s="1424" t="s">
        <v>49</v>
      </c>
      <c r="E3" s="1426" t="s">
        <v>76</v>
      </c>
      <c r="F3" s="1428" t="s">
        <v>63</v>
      </c>
      <c r="G3" s="1429"/>
      <c r="H3" s="1429"/>
      <c r="I3" s="1429"/>
      <c r="J3" s="1429"/>
      <c r="K3" s="1430"/>
      <c r="L3" s="1431" t="s">
        <v>54</v>
      </c>
      <c r="M3" s="1431" t="s">
        <v>55</v>
      </c>
      <c r="N3" s="1426" t="s">
        <v>68</v>
      </c>
      <c r="O3" s="1426" t="s">
        <v>50</v>
      </c>
    </row>
    <row r="4" spans="1:15" ht="30" customHeight="1">
      <c r="A4" s="1425"/>
      <c r="B4" s="1425"/>
      <c r="C4" s="1425"/>
      <c r="D4" s="1425"/>
      <c r="E4" s="1427"/>
      <c r="F4" s="17" t="s">
        <v>67</v>
      </c>
      <c r="G4" s="17" t="s">
        <v>66</v>
      </c>
      <c r="H4" s="17" t="s">
        <v>67</v>
      </c>
      <c r="I4" s="17" t="s">
        <v>66</v>
      </c>
      <c r="J4" s="18" t="s">
        <v>66</v>
      </c>
      <c r="K4" s="17" t="s">
        <v>64</v>
      </c>
      <c r="L4" s="1432"/>
      <c r="M4" s="1432"/>
      <c r="N4" s="1427"/>
      <c r="O4" s="1427"/>
    </row>
    <row r="5" spans="1:15" ht="45" customHeight="1">
      <c r="A5" s="19">
        <v>1</v>
      </c>
      <c r="B5" s="33"/>
      <c r="C5" s="285" t="s">
        <v>390</v>
      </c>
      <c r="D5" s="20" t="s">
        <v>258</v>
      </c>
      <c r="E5" s="21">
        <v>9600000</v>
      </c>
      <c r="F5" s="21"/>
      <c r="G5" s="22"/>
      <c r="H5" s="23"/>
      <c r="I5" s="23"/>
      <c r="J5" s="23"/>
      <c r="K5" s="23"/>
      <c r="L5" s="23"/>
      <c r="M5" s="23"/>
      <c r="N5" s="24">
        <f>SUM(E5:M5)</f>
        <v>9600000</v>
      </c>
      <c r="O5" s="34"/>
    </row>
    <row r="6" spans="1:15" ht="45" hidden="1" customHeight="1">
      <c r="A6" s="19">
        <v>2</v>
      </c>
      <c r="B6" s="33"/>
      <c r="C6" s="33"/>
      <c r="D6" s="20"/>
      <c r="E6" s="21"/>
      <c r="F6" s="21"/>
      <c r="G6" s="22"/>
      <c r="H6" s="23"/>
      <c r="I6" s="23"/>
      <c r="J6" s="23"/>
      <c r="K6" s="23"/>
      <c r="L6" s="23"/>
      <c r="M6" s="23"/>
      <c r="N6" s="24"/>
      <c r="O6" s="34"/>
    </row>
    <row r="7" spans="1:15" ht="45" hidden="1" customHeight="1">
      <c r="A7" s="19">
        <v>3</v>
      </c>
      <c r="B7" s="33"/>
      <c r="C7" s="33"/>
      <c r="D7" s="20"/>
      <c r="E7" s="21"/>
      <c r="F7" s="21"/>
      <c r="G7" s="22"/>
      <c r="H7" s="23"/>
      <c r="I7" s="23"/>
      <c r="J7" s="23"/>
      <c r="K7" s="23"/>
      <c r="L7" s="23"/>
      <c r="M7" s="23"/>
      <c r="N7" s="24"/>
      <c r="O7" s="19"/>
    </row>
    <row r="8" spans="1:15" ht="45" hidden="1" customHeight="1">
      <c r="A8" s="19">
        <v>4</v>
      </c>
      <c r="B8" s="33"/>
      <c r="C8" s="33"/>
      <c r="D8" s="20"/>
      <c r="E8" s="21"/>
      <c r="F8" s="21"/>
      <c r="G8" s="22"/>
      <c r="H8" s="23"/>
      <c r="I8" s="23"/>
      <c r="J8" s="23"/>
      <c r="K8" s="23"/>
      <c r="L8" s="23"/>
      <c r="M8" s="23"/>
      <c r="N8" s="24"/>
      <c r="O8" s="19"/>
    </row>
    <row r="9" spans="1:15" ht="45" hidden="1" customHeight="1">
      <c r="A9" s="19">
        <v>5</v>
      </c>
      <c r="B9" s="34"/>
      <c r="C9" s="34"/>
      <c r="D9" s="25"/>
      <c r="E9" s="21"/>
      <c r="F9" s="21"/>
      <c r="G9" s="22"/>
      <c r="H9" s="23"/>
      <c r="I9" s="23"/>
      <c r="J9" s="23"/>
      <c r="K9" s="23"/>
      <c r="L9" s="23"/>
      <c r="M9" s="23"/>
      <c r="N9" s="24"/>
      <c r="O9" s="19"/>
    </row>
    <row r="10" spans="1:15" ht="45" hidden="1" customHeight="1">
      <c r="A10" s="19">
        <v>6</v>
      </c>
      <c r="B10" s="34"/>
      <c r="C10" s="34"/>
      <c r="D10" s="25"/>
      <c r="E10" s="21"/>
      <c r="F10" s="21"/>
      <c r="G10" s="22"/>
      <c r="H10" s="23"/>
      <c r="I10" s="23"/>
      <c r="J10" s="23"/>
      <c r="K10" s="23"/>
      <c r="L10" s="23"/>
      <c r="M10" s="23"/>
      <c r="N10" s="24"/>
      <c r="O10" s="27"/>
    </row>
    <row r="11" spans="1:15" ht="45" customHeight="1">
      <c r="A11" s="1455" t="s">
        <v>51</v>
      </c>
      <c r="B11" s="1456"/>
      <c r="C11" s="1456"/>
      <c r="D11" s="1457"/>
      <c r="E11" s="24"/>
      <c r="F11" s="24"/>
      <c r="G11" s="24"/>
      <c r="H11" s="24"/>
      <c r="I11" s="24"/>
      <c r="J11" s="24"/>
      <c r="K11" s="24"/>
      <c r="L11" s="24"/>
      <c r="M11" s="24"/>
      <c r="N11" s="24">
        <f>SUM(N5:N10)</f>
        <v>9600000</v>
      </c>
      <c r="O11" s="26"/>
    </row>
    <row r="12" spans="1:15" ht="35.1" customHeight="1">
      <c r="A12" s="14"/>
      <c r="B12" s="14"/>
      <c r="C12" s="14"/>
      <c r="D12" s="14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6"/>
    </row>
    <row r="13" spans="1:15" ht="35.1" customHeight="1">
      <c r="A13" s="1445" t="s">
        <v>52</v>
      </c>
      <c r="B13" s="1445"/>
      <c r="C13" s="1445"/>
      <c r="D13" s="1445"/>
      <c r="E13" s="1445"/>
      <c r="F13" s="1445"/>
      <c r="G13" s="1445"/>
      <c r="H13" s="1445"/>
      <c r="I13" s="1445"/>
      <c r="J13" s="1445"/>
      <c r="K13" s="1445"/>
      <c r="L13" s="1445"/>
      <c r="M13" s="1445"/>
      <c r="N13" s="1445"/>
      <c r="O13" s="16"/>
    </row>
    <row r="14" spans="1:15" ht="35.1" customHeight="1"/>
    <row r="15" spans="1:15" ht="35.1" customHeight="1"/>
    <row r="16" spans="1:15" ht="35.1" customHeight="1"/>
    <row r="17" ht="35.1" customHeight="1"/>
    <row r="18" ht="35.1" customHeight="1"/>
    <row r="19" ht="35.1" customHeight="1"/>
    <row r="20" ht="35.1" customHeight="1"/>
  </sheetData>
  <mergeCells count="13">
    <mergeCell ref="A11:D11"/>
    <mergeCell ref="C3:C4"/>
    <mergeCell ref="A13:N13"/>
    <mergeCell ref="A1:O1"/>
    <mergeCell ref="A3:A4"/>
    <mergeCell ref="B3:B4"/>
    <mergeCell ref="D3:D4"/>
    <mergeCell ref="E3:E4"/>
    <mergeCell ref="F3:K3"/>
    <mergeCell ref="L3:L4"/>
    <mergeCell ref="M3:M4"/>
    <mergeCell ref="N3:N4"/>
    <mergeCell ref="O3:O4"/>
  </mergeCells>
  <phoneticPr fontId="7" type="noConversion"/>
  <pageMargins left="0.70866141732283472" right="0.70866141732283472" top="0.74803149606299213" bottom="0.74803149606299213" header="0.31496062992125984" footer="0.31496062992125984"/>
  <pageSetup paperSize="9" scale="85" fitToHeight="0" orientation="landscape" horizontalDpi="4294967293" verticalDpi="4294967293" r:id="rId1"/>
  <colBreaks count="1" manualBreakCount="1">
    <brk id="1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P145"/>
  <sheetViews>
    <sheetView workbookViewId="0">
      <selection activeCell="G10" sqref="G10"/>
    </sheetView>
  </sheetViews>
  <sheetFormatPr defaultRowHeight="13.5"/>
  <cols>
    <col min="1" max="1" width="4.375" style="124" customWidth="1"/>
    <col min="2" max="2" width="6.625" style="207" customWidth="1"/>
    <col min="3" max="3" width="9.125" style="207" customWidth="1"/>
    <col min="4" max="4" width="11" style="141" hidden="1" customWidth="1"/>
    <col min="5" max="6" width="6.625" style="124" hidden="1" customWidth="1"/>
    <col min="7" max="7" width="9.5" style="147" customWidth="1"/>
    <col min="8" max="8" width="7.5" style="208" customWidth="1"/>
    <col min="9" max="9" width="2.375" style="208" customWidth="1"/>
    <col min="10" max="10" width="2.25" style="141" customWidth="1"/>
    <col min="11" max="11" width="2.5" style="208" customWidth="1"/>
    <col min="12" max="13" width="2.375" style="141" customWidth="1"/>
    <col min="14" max="14" width="2.625" style="147" customWidth="1"/>
    <col min="15" max="15" width="3.375" style="141" customWidth="1"/>
    <col min="16" max="16" width="2.25" style="141" customWidth="1"/>
    <col min="17" max="17" width="4.625" style="209" hidden="1" customWidth="1"/>
    <col min="18" max="18" width="9.25" style="208" customWidth="1"/>
    <col min="19" max="19" width="10" style="208" hidden="1" customWidth="1"/>
    <col min="20" max="20" width="7.625" style="208" hidden="1" customWidth="1"/>
    <col min="21" max="21" width="11.125" style="208" hidden="1" customWidth="1"/>
    <col min="22" max="22" width="9.75" style="208" hidden="1" customWidth="1"/>
    <col min="23" max="25" width="11" style="208" hidden="1" customWidth="1"/>
    <col min="26" max="26" width="10" style="208" hidden="1" customWidth="1"/>
    <col min="27" max="27" width="8.875" style="208" hidden="1" customWidth="1"/>
    <col min="28" max="28" width="10.625" style="208" hidden="1" customWidth="1"/>
    <col min="29" max="29" width="8.375" style="208" hidden="1" customWidth="1"/>
    <col min="30" max="30" width="1.875" style="208" hidden="1" customWidth="1"/>
    <col min="31" max="31" width="22.375" style="142" customWidth="1"/>
    <col min="32" max="32" width="11.875" style="175" hidden="1" customWidth="1"/>
    <col min="33" max="33" width="7" style="175" hidden="1" customWidth="1"/>
    <col min="34" max="34" width="5.375" style="175" hidden="1" customWidth="1"/>
    <col min="35" max="35" width="13" style="175" customWidth="1"/>
    <col min="36" max="36" width="15.125" style="175" customWidth="1"/>
    <col min="37" max="37" width="25.75" style="144" customWidth="1"/>
    <col min="38" max="38" width="12.625" style="175" customWidth="1"/>
    <col min="39" max="39" width="12.875" style="175" customWidth="1"/>
    <col min="40" max="40" width="11.25" style="175" customWidth="1"/>
    <col min="41" max="42" width="9" style="175"/>
    <col min="43" max="43" width="10.5" style="123" bestFit="1" customWidth="1"/>
    <col min="44" max="16384" width="9" style="123"/>
  </cols>
  <sheetData>
    <row r="2" spans="1:42" s="144" customFormat="1" ht="21.75" customHeight="1">
      <c r="A2" s="1458" t="s">
        <v>391</v>
      </c>
      <c r="B2" s="1458"/>
      <c r="C2" s="1458"/>
      <c r="D2" s="1458"/>
      <c r="E2" s="1458"/>
      <c r="F2" s="1458"/>
      <c r="G2" s="1458"/>
      <c r="H2" s="1458"/>
      <c r="I2" s="1458"/>
      <c r="J2" s="1458"/>
      <c r="K2" s="1458"/>
      <c r="L2" s="1458"/>
      <c r="M2" s="1458"/>
      <c r="N2" s="1458"/>
      <c r="O2" s="1458"/>
      <c r="P2" s="1458"/>
      <c r="Q2" s="140"/>
      <c r="R2" s="141"/>
      <c r="S2" s="141"/>
      <c r="T2" s="141"/>
      <c r="U2" s="141"/>
      <c r="V2" s="141"/>
      <c r="W2" s="141"/>
      <c r="X2" s="141"/>
      <c r="Y2" s="141"/>
      <c r="Z2" s="141"/>
      <c r="AA2" s="141"/>
      <c r="AB2" s="141"/>
      <c r="AC2" s="141"/>
      <c r="AD2" s="141"/>
      <c r="AE2" s="142"/>
      <c r="AF2" s="143"/>
      <c r="AG2" s="143"/>
      <c r="AH2" s="143"/>
      <c r="AI2" s="143"/>
      <c r="AJ2" s="143"/>
      <c r="AL2" s="143"/>
      <c r="AM2" s="143"/>
      <c r="AN2" s="143"/>
      <c r="AO2" s="143"/>
      <c r="AP2" s="143"/>
    </row>
    <row r="3" spans="1:42" s="144" customFormat="1" ht="22.5" customHeight="1" thickBot="1">
      <c r="A3" s="145"/>
      <c r="B3" s="145"/>
      <c r="C3" s="145"/>
      <c r="D3" s="145"/>
      <c r="E3" s="145"/>
      <c r="F3" s="145"/>
      <c r="G3" s="146"/>
      <c r="H3" s="146"/>
      <c r="I3" s="146"/>
      <c r="J3" s="146"/>
      <c r="K3" s="146"/>
      <c r="L3" s="146"/>
      <c r="M3" s="146"/>
      <c r="N3" s="146"/>
      <c r="O3" s="146"/>
      <c r="P3" s="146"/>
      <c r="Q3" s="140"/>
      <c r="R3" s="141"/>
      <c r="S3" s="141"/>
      <c r="T3" s="141"/>
      <c r="U3" s="141"/>
      <c r="V3" s="141"/>
      <c r="W3" s="141"/>
      <c r="X3" s="141"/>
      <c r="Y3" s="141"/>
      <c r="Z3" s="141"/>
      <c r="AA3" s="141"/>
      <c r="AB3" s="141"/>
      <c r="AC3" s="141"/>
      <c r="AD3" s="141"/>
      <c r="AE3" s="147" t="s">
        <v>298</v>
      </c>
      <c r="AF3" s="143"/>
      <c r="AG3" s="143"/>
      <c r="AH3" s="143"/>
      <c r="AI3" s="143"/>
      <c r="AJ3" s="143"/>
      <c r="AL3" s="143"/>
      <c r="AM3" s="143"/>
      <c r="AN3" s="143"/>
      <c r="AO3" s="143"/>
      <c r="AP3" s="143"/>
    </row>
    <row r="4" spans="1:42" s="144" customFormat="1" ht="20.25" customHeight="1" thickBot="1">
      <c r="A4" s="148" t="s">
        <v>392</v>
      </c>
      <c r="B4" s="1459" t="s">
        <v>393</v>
      </c>
      <c r="C4" s="1460"/>
      <c r="D4" s="149"/>
      <c r="E4" s="150"/>
      <c r="F4" s="150"/>
      <c r="G4" s="149" t="s">
        <v>394</v>
      </c>
      <c r="H4" s="1461"/>
      <c r="I4" s="1461"/>
      <c r="J4" s="1461"/>
      <c r="K4" s="1461"/>
      <c r="L4" s="1461"/>
      <c r="M4" s="1461"/>
      <c r="N4" s="1461"/>
      <c r="O4" s="1461"/>
      <c r="P4" s="1461"/>
      <c r="Q4" s="1461"/>
      <c r="R4" s="1462"/>
      <c r="S4" s="149"/>
      <c r="T4" s="149"/>
      <c r="U4" s="149"/>
      <c r="V4" s="149"/>
      <c r="W4" s="149"/>
      <c r="X4" s="149"/>
      <c r="Y4" s="149"/>
      <c r="Z4" s="149"/>
      <c r="AA4" s="149"/>
      <c r="AB4" s="149"/>
      <c r="AC4" s="149"/>
      <c r="AD4" s="149"/>
      <c r="AE4" s="151" t="s">
        <v>395</v>
      </c>
      <c r="AF4" s="143"/>
      <c r="AG4" s="143"/>
      <c r="AH4" s="143"/>
      <c r="AI4" s="143"/>
      <c r="AJ4" s="143"/>
      <c r="AL4" s="143"/>
      <c r="AM4" s="143"/>
      <c r="AN4" s="143"/>
      <c r="AO4" s="143"/>
      <c r="AP4" s="143"/>
    </row>
    <row r="5" spans="1:42" s="144" customFormat="1" ht="15.75" customHeight="1" thickTop="1">
      <c r="A5" s="1463" t="s">
        <v>307</v>
      </c>
      <c r="B5" s="1464"/>
      <c r="C5" s="1465"/>
      <c r="D5" s="152"/>
      <c r="E5" s="153"/>
      <c r="F5" s="153"/>
      <c r="G5" s="154">
        <f>ROUND(G16+G25+G34+G43+G52+G61+G70+G79+G88+G97+G107+G116,-1)</f>
        <v>140739200</v>
      </c>
      <c r="H5" s="155"/>
      <c r="I5" s="155"/>
      <c r="J5" s="155"/>
      <c r="K5" s="155"/>
      <c r="L5" s="155"/>
      <c r="M5" s="155"/>
      <c r="N5" s="155"/>
      <c r="O5" s="155"/>
      <c r="P5" s="155"/>
      <c r="Q5" s="155"/>
      <c r="R5" s="156"/>
      <c r="S5" s="152"/>
      <c r="T5" s="152"/>
      <c r="U5" s="152"/>
      <c r="V5" s="152"/>
      <c r="W5" s="152"/>
      <c r="X5" s="152"/>
      <c r="Y5" s="152"/>
      <c r="Z5" s="152"/>
      <c r="AA5" s="152"/>
      <c r="AB5" s="152"/>
      <c r="AC5" s="152"/>
      <c r="AD5" s="152"/>
      <c r="AE5" s="157"/>
      <c r="AF5" s="143"/>
      <c r="AG5" s="143"/>
      <c r="AH5" s="143"/>
      <c r="AI5" s="143"/>
      <c r="AJ5" s="143"/>
      <c r="AL5" s="143"/>
      <c r="AM5" s="143"/>
      <c r="AN5" s="143"/>
      <c r="AO5" s="143"/>
      <c r="AP5" s="143"/>
    </row>
    <row r="6" spans="1:42" s="165" customFormat="1" ht="15.75" customHeight="1">
      <c r="A6" s="1466" t="s">
        <v>396</v>
      </c>
      <c r="B6" s="1469" t="s">
        <v>312</v>
      </c>
      <c r="C6" s="1470"/>
      <c r="D6" s="158"/>
      <c r="E6" s="159"/>
      <c r="F6" s="159"/>
      <c r="G6" s="160">
        <f>G7+G9+G11+G13</f>
        <v>140739200</v>
      </c>
      <c r="H6" s="161"/>
      <c r="I6" s="161"/>
      <c r="J6" s="161"/>
      <c r="K6" s="161"/>
      <c r="L6" s="161"/>
      <c r="M6" s="161"/>
      <c r="N6" s="161"/>
      <c r="O6" s="161"/>
      <c r="P6" s="161"/>
      <c r="Q6" s="161"/>
      <c r="R6" s="162"/>
      <c r="S6" s="158"/>
      <c r="T6" s="158"/>
      <c r="U6" s="158"/>
      <c r="V6" s="158"/>
      <c r="W6" s="158"/>
      <c r="X6" s="158"/>
      <c r="Y6" s="158"/>
      <c r="Z6" s="158"/>
      <c r="AA6" s="158"/>
      <c r="AB6" s="158"/>
      <c r="AC6" s="158"/>
      <c r="AD6" s="158"/>
      <c r="AE6" s="163" t="s">
        <v>397</v>
      </c>
      <c r="AF6" s="164"/>
      <c r="AG6" s="164"/>
      <c r="AH6" s="164"/>
      <c r="AI6" s="164"/>
      <c r="AJ6" s="164"/>
      <c r="AL6" s="164"/>
      <c r="AM6" s="164"/>
      <c r="AN6" s="164"/>
      <c r="AO6" s="164"/>
      <c r="AP6" s="164"/>
    </row>
    <row r="7" spans="1:42" s="165" customFormat="1" ht="15.75" customHeight="1">
      <c r="A7" s="1467"/>
      <c r="B7" s="1471" t="s">
        <v>398</v>
      </c>
      <c r="C7" s="159" t="s">
        <v>312</v>
      </c>
      <c r="D7" s="158"/>
      <c r="E7" s="159"/>
      <c r="F7" s="159"/>
      <c r="G7" s="160">
        <f>G8</f>
        <v>3543500</v>
      </c>
      <c r="H7" s="161"/>
      <c r="I7" s="161"/>
      <c r="J7" s="161"/>
      <c r="K7" s="161"/>
      <c r="L7" s="161"/>
      <c r="M7" s="161"/>
      <c r="N7" s="161"/>
      <c r="O7" s="161"/>
      <c r="P7" s="161"/>
      <c r="Q7" s="161"/>
      <c r="R7" s="162"/>
      <c r="S7" s="158"/>
      <c r="T7" s="158"/>
      <c r="U7" s="158"/>
      <c r="V7" s="158"/>
      <c r="W7" s="158"/>
      <c r="X7" s="158"/>
      <c r="Y7" s="158"/>
      <c r="Z7" s="158"/>
      <c r="AA7" s="158"/>
      <c r="AB7" s="158"/>
      <c r="AC7" s="158"/>
      <c r="AD7" s="158"/>
      <c r="AE7" s="166"/>
      <c r="AF7" s="164"/>
      <c r="AG7" s="164"/>
      <c r="AH7" s="164"/>
      <c r="AI7" s="164"/>
      <c r="AJ7" s="164"/>
      <c r="AL7" s="164"/>
      <c r="AM7" s="164"/>
      <c r="AN7" s="164"/>
      <c r="AO7" s="164"/>
      <c r="AP7" s="164"/>
    </row>
    <row r="8" spans="1:42" ht="15.75" customHeight="1">
      <c r="A8" s="1467"/>
      <c r="B8" s="1472"/>
      <c r="C8" s="159" t="s">
        <v>399</v>
      </c>
      <c r="D8" s="167"/>
      <c r="E8" s="168"/>
      <c r="F8" s="168"/>
      <c r="G8" s="160">
        <f>G18+G27+G36+G45+G54+G63+G72+G81+G90+G99+G109+G118</f>
        <v>3543500</v>
      </c>
      <c r="H8" s="169">
        <v>37300</v>
      </c>
      <c r="I8" s="169" t="s">
        <v>140</v>
      </c>
      <c r="J8" s="170"/>
      <c r="K8" s="169"/>
      <c r="L8" s="170"/>
      <c r="M8" s="170"/>
      <c r="N8" s="171"/>
      <c r="O8" s="170"/>
      <c r="P8" s="170"/>
      <c r="Q8" s="172"/>
      <c r="R8" s="173">
        <f>G8</f>
        <v>3543500</v>
      </c>
      <c r="S8" s="174"/>
      <c r="T8" s="174"/>
      <c r="U8" s="174"/>
      <c r="V8" s="174"/>
      <c r="W8" s="174"/>
      <c r="X8" s="174"/>
      <c r="Y8" s="174"/>
      <c r="Z8" s="174"/>
      <c r="AA8" s="174"/>
      <c r="AB8" s="174"/>
      <c r="AC8" s="174"/>
      <c r="AD8" s="174"/>
      <c r="AE8" s="166" t="s">
        <v>400</v>
      </c>
    </row>
    <row r="9" spans="1:42" ht="15.75" customHeight="1">
      <c r="A9" s="1467"/>
      <c r="B9" s="1473" t="s">
        <v>401</v>
      </c>
      <c r="C9" s="159" t="s">
        <v>312</v>
      </c>
      <c r="D9" s="167"/>
      <c r="E9" s="168"/>
      <c r="F9" s="168"/>
      <c r="G9" s="160">
        <f>G10</f>
        <v>135608100</v>
      </c>
      <c r="H9" s="169"/>
      <c r="I9" s="169"/>
      <c r="J9" s="170"/>
      <c r="K9" s="169"/>
      <c r="L9" s="170"/>
      <c r="M9" s="170"/>
      <c r="N9" s="171"/>
      <c r="O9" s="170"/>
      <c r="P9" s="170"/>
      <c r="Q9" s="172"/>
      <c r="R9" s="173"/>
      <c r="S9" s="174"/>
      <c r="T9" s="174"/>
      <c r="U9" s="174"/>
      <c r="V9" s="174"/>
      <c r="W9" s="174"/>
      <c r="X9" s="174"/>
      <c r="Y9" s="174"/>
      <c r="Z9" s="174"/>
      <c r="AA9" s="174"/>
      <c r="AB9" s="174"/>
      <c r="AC9" s="174"/>
      <c r="AD9" s="174"/>
      <c r="AE9" s="166"/>
    </row>
    <row r="10" spans="1:42" ht="15.75" customHeight="1">
      <c r="A10" s="1467"/>
      <c r="B10" s="1474"/>
      <c r="C10" s="176" t="s">
        <v>401</v>
      </c>
      <c r="D10" s="167"/>
      <c r="E10" s="168"/>
      <c r="F10" s="168"/>
      <c r="G10" s="177">
        <f>ROUND(G20+G29+G38+G47+G56+G65+G74+G83+G92+G101+G111+G120,-1)</f>
        <v>135608100</v>
      </c>
      <c r="H10" s="169">
        <v>236251</v>
      </c>
      <c r="I10" s="169" t="s">
        <v>140</v>
      </c>
      <c r="J10" s="170"/>
      <c r="K10" s="169"/>
      <c r="L10" s="170"/>
      <c r="M10" s="170"/>
      <c r="N10" s="171"/>
      <c r="O10" s="170"/>
      <c r="P10" s="170"/>
      <c r="Q10" s="172"/>
      <c r="R10" s="173">
        <f>G10</f>
        <v>135608100</v>
      </c>
      <c r="S10" s="174"/>
      <c r="T10" s="174"/>
      <c r="U10" s="174"/>
      <c r="V10" s="174"/>
      <c r="W10" s="174"/>
      <c r="X10" s="174"/>
      <c r="Y10" s="174"/>
      <c r="Z10" s="174"/>
      <c r="AA10" s="174"/>
      <c r="AB10" s="174"/>
      <c r="AC10" s="174"/>
      <c r="AD10" s="174"/>
      <c r="AE10" s="166" t="s">
        <v>402</v>
      </c>
    </row>
    <row r="11" spans="1:42" ht="15.75" customHeight="1">
      <c r="A11" s="1467"/>
      <c r="B11" s="1475" t="s">
        <v>403</v>
      </c>
      <c r="C11" s="159" t="s">
        <v>312</v>
      </c>
      <c r="D11" s="167"/>
      <c r="E11" s="168"/>
      <c r="F11" s="168"/>
      <c r="G11" s="177">
        <f>G12</f>
        <v>1587600</v>
      </c>
      <c r="H11" s="169"/>
      <c r="I11" s="169"/>
      <c r="J11" s="170"/>
      <c r="K11" s="169"/>
      <c r="L11" s="170"/>
      <c r="M11" s="170"/>
      <c r="N11" s="171"/>
      <c r="O11" s="170"/>
      <c r="P11" s="170"/>
      <c r="Q11" s="172"/>
      <c r="R11" s="173"/>
      <c r="S11" s="174"/>
      <c r="T11" s="174"/>
      <c r="U11" s="174"/>
      <c r="V11" s="174"/>
      <c r="W11" s="174"/>
      <c r="X11" s="174"/>
      <c r="Y11" s="174"/>
      <c r="Z11" s="174"/>
      <c r="AA11" s="174"/>
      <c r="AB11" s="174"/>
      <c r="AC11" s="174"/>
      <c r="AD11" s="174"/>
      <c r="AE11" s="166"/>
    </row>
    <row r="12" spans="1:42" ht="15.75" customHeight="1">
      <c r="A12" s="1467"/>
      <c r="B12" s="1476"/>
      <c r="C12" s="159" t="s">
        <v>403</v>
      </c>
      <c r="D12" s="167"/>
      <c r="E12" s="168"/>
      <c r="F12" s="168"/>
      <c r="G12" s="160">
        <f>G21+G30+G39+G48+G57+G66+G75+G84+G93+G103+G112+G121</f>
        <v>1587600</v>
      </c>
      <c r="H12" s="169">
        <v>33075</v>
      </c>
      <c r="I12" s="169" t="s">
        <v>140</v>
      </c>
      <c r="J12" s="170"/>
      <c r="K12" s="169"/>
      <c r="L12" s="170"/>
      <c r="M12" s="170"/>
      <c r="N12" s="171"/>
      <c r="O12" s="170"/>
      <c r="P12" s="170"/>
      <c r="Q12" s="172"/>
      <c r="R12" s="173">
        <f>G12</f>
        <v>1587600</v>
      </c>
      <c r="S12" s="174"/>
      <c r="T12" s="174"/>
      <c r="U12" s="174"/>
      <c r="V12" s="174"/>
      <c r="W12" s="174"/>
      <c r="X12" s="174"/>
      <c r="Y12" s="174"/>
      <c r="Z12" s="174"/>
      <c r="AA12" s="174"/>
      <c r="AB12" s="174"/>
      <c r="AC12" s="174"/>
      <c r="AD12" s="174"/>
      <c r="AE12" s="166" t="s">
        <v>404</v>
      </c>
    </row>
    <row r="13" spans="1:42" ht="15.75" customHeight="1">
      <c r="A13" s="1467"/>
      <c r="B13" s="159" t="s">
        <v>312</v>
      </c>
      <c r="C13" s="159" t="s">
        <v>312</v>
      </c>
      <c r="D13" s="167"/>
      <c r="E13" s="168"/>
      <c r="F13" s="168"/>
      <c r="G13" s="160">
        <f>G14+G15</f>
        <v>0</v>
      </c>
      <c r="H13" s="169"/>
      <c r="I13" s="169"/>
      <c r="J13" s="170"/>
      <c r="K13" s="169"/>
      <c r="L13" s="170"/>
      <c r="M13" s="170"/>
      <c r="N13" s="171"/>
      <c r="O13" s="170"/>
      <c r="P13" s="170"/>
      <c r="Q13" s="172"/>
      <c r="R13" s="173"/>
      <c r="S13" s="174"/>
      <c r="T13" s="174"/>
      <c r="U13" s="174"/>
      <c r="V13" s="174"/>
      <c r="W13" s="174"/>
      <c r="X13" s="174"/>
      <c r="Y13" s="174"/>
      <c r="Z13" s="174"/>
      <c r="AA13" s="174"/>
      <c r="AB13" s="174"/>
      <c r="AC13" s="174"/>
      <c r="AD13" s="174"/>
      <c r="AE13" s="166"/>
    </row>
    <row r="14" spans="1:42" ht="15.75" customHeight="1">
      <c r="A14" s="1467"/>
      <c r="B14" s="159" t="s">
        <v>342</v>
      </c>
      <c r="C14" s="159" t="s">
        <v>342</v>
      </c>
      <c r="D14" s="167"/>
      <c r="E14" s="168"/>
      <c r="F14" s="168"/>
      <c r="G14" s="160"/>
      <c r="H14" s="169">
        <f>G14/12/51</f>
        <v>0</v>
      </c>
      <c r="I14" s="169"/>
      <c r="J14" s="170"/>
      <c r="K14" s="169"/>
      <c r="L14" s="170"/>
      <c r="M14" s="170"/>
      <c r="N14" s="171"/>
      <c r="O14" s="170"/>
      <c r="P14" s="170"/>
      <c r="Q14" s="172"/>
      <c r="R14" s="173">
        <f>G14</f>
        <v>0</v>
      </c>
      <c r="S14" s="174"/>
      <c r="T14" s="174"/>
      <c r="U14" s="174"/>
      <c r="V14" s="174"/>
      <c r="W14" s="174"/>
      <c r="X14" s="174"/>
      <c r="Y14" s="174"/>
      <c r="Z14" s="174"/>
      <c r="AA14" s="174"/>
      <c r="AB14" s="174"/>
      <c r="AC14" s="174"/>
      <c r="AD14" s="174"/>
      <c r="AE14" s="166" t="s">
        <v>402</v>
      </c>
    </row>
    <row r="15" spans="1:42" ht="15.75" customHeight="1">
      <c r="A15" s="1468"/>
      <c r="B15" s="178"/>
      <c r="C15" s="178"/>
      <c r="D15" s="179"/>
      <c r="E15" s="180"/>
      <c r="F15" s="180"/>
      <c r="G15" s="181"/>
      <c r="H15" s="182"/>
      <c r="I15" s="182"/>
      <c r="J15" s="183"/>
      <c r="K15" s="182"/>
      <c r="L15" s="183"/>
      <c r="M15" s="183"/>
      <c r="N15" s="184"/>
      <c r="O15" s="183"/>
      <c r="P15" s="183"/>
      <c r="Q15" s="185"/>
      <c r="R15" s="186"/>
      <c r="S15" s="187"/>
      <c r="T15" s="187"/>
      <c r="U15" s="187"/>
      <c r="V15" s="187"/>
      <c r="W15" s="187"/>
      <c r="X15" s="187"/>
      <c r="Y15" s="187"/>
      <c r="Z15" s="187"/>
      <c r="AA15" s="187"/>
      <c r="AB15" s="187"/>
      <c r="AC15" s="187"/>
      <c r="AD15" s="187"/>
      <c r="AE15" s="188"/>
    </row>
    <row r="16" spans="1:42" s="165" customFormat="1" ht="15.75" customHeight="1">
      <c r="A16" s="1467" t="s">
        <v>405</v>
      </c>
      <c r="B16" s="1479" t="s">
        <v>312</v>
      </c>
      <c r="C16" s="1480"/>
      <c r="D16" s="189"/>
      <c r="E16" s="190"/>
      <c r="F16" s="190"/>
      <c r="G16" s="191">
        <f>G17+G19+G22</f>
        <v>12856900</v>
      </c>
      <c r="H16" s="192"/>
      <c r="I16" s="192"/>
      <c r="J16" s="192"/>
      <c r="K16" s="192"/>
      <c r="L16" s="192"/>
      <c r="M16" s="192"/>
      <c r="N16" s="192"/>
      <c r="O16" s="192"/>
      <c r="P16" s="192"/>
      <c r="Q16" s="192"/>
      <c r="R16" s="193"/>
      <c r="S16" s="189"/>
      <c r="T16" s="189"/>
      <c r="U16" s="189"/>
      <c r="V16" s="189"/>
      <c r="W16" s="189"/>
      <c r="X16" s="189"/>
      <c r="Y16" s="189"/>
      <c r="Z16" s="189"/>
      <c r="AA16" s="189"/>
      <c r="AB16" s="189"/>
      <c r="AC16" s="189"/>
      <c r="AD16" s="189"/>
      <c r="AE16" s="163" t="s">
        <v>397</v>
      </c>
      <c r="AF16" s="164"/>
      <c r="AG16" s="164"/>
      <c r="AH16" s="164"/>
      <c r="AI16" s="164"/>
      <c r="AJ16" s="164"/>
      <c r="AL16" s="164"/>
      <c r="AM16" s="164"/>
      <c r="AN16" s="164"/>
      <c r="AO16" s="164"/>
      <c r="AP16" s="164"/>
    </row>
    <row r="17" spans="1:42" s="165" customFormat="1" ht="15.75" customHeight="1">
      <c r="A17" s="1467"/>
      <c r="B17" s="1471" t="s">
        <v>398</v>
      </c>
      <c r="C17" s="159" t="s">
        <v>312</v>
      </c>
      <c r="D17" s="158"/>
      <c r="E17" s="159"/>
      <c r="F17" s="159"/>
      <c r="G17" s="160">
        <f>G18</f>
        <v>1753100</v>
      </c>
      <c r="H17" s="161"/>
      <c r="I17" s="161"/>
      <c r="J17" s="161"/>
      <c r="K17" s="161"/>
      <c r="L17" s="161"/>
      <c r="M17" s="161"/>
      <c r="N17" s="161"/>
      <c r="O17" s="161"/>
      <c r="P17" s="161"/>
      <c r="Q17" s="161"/>
      <c r="R17" s="162"/>
      <c r="S17" s="158"/>
      <c r="T17" s="158"/>
      <c r="U17" s="158"/>
      <c r="V17" s="158"/>
      <c r="W17" s="158"/>
      <c r="X17" s="158"/>
      <c r="Y17" s="158"/>
      <c r="Z17" s="158"/>
      <c r="AA17" s="158"/>
      <c r="AB17" s="158"/>
      <c r="AC17" s="158"/>
      <c r="AD17" s="158"/>
      <c r="AE17" s="166"/>
      <c r="AF17" s="164"/>
      <c r="AG17" s="164"/>
      <c r="AH17" s="164"/>
      <c r="AI17" s="164"/>
      <c r="AJ17" s="164"/>
      <c r="AL17" s="164"/>
      <c r="AM17" s="164"/>
      <c r="AN17" s="164"/>
      <c r="AO17" s="164"/>
      <c r="AP17" s="164"/>
    </row>
    <row r="18" spans="1:42" ht="15.75" customHeight="1">
      <c r="A18" s="1467"/>
      <c r="B18" s="1472"/>
      <c r="C18" s="159" t="s">
        <v>399</v>
      </c>
      <c r="D18" s="167"/>
      <c r="E18" s="168"/>
      <c r="F18" s="168"/>
      <c r="G18" s="160">
        <f>R18</f>
        <v>1753100</v>
      </c>
      <c r="H18" s="169">
        <v>37300</v>
      </c>
      <c r="I18" s="169" t="s">
        <v>406</v>
      </c>
      <c r="J18" s="170" t="s">
        <v>407</v>
      </c>
      <c r="K18" s="169">
        <v>47</v>
      </c>
      <c r="L18" s="170" t="s">
        <v>408</v>
      </c>
      <c r="M18" s="170" t="s">
        <v>407</v>
      </c>
      <c r="N18" s="171">
        <v>1</v>
      </c>
      <c r="O18" s="170" t="s">
        <v>409</v>
      </c>
      <c r="P18" s="170" t="s">
        <v>410</v>
      </c>
      <c r="Q18" s="172"/>
      <c r="R18" s="173">
        <f>H18*K18*N18</f>
        <v>1753100</v>
      </c>
      <c r="S18" s="174"/>
      <c r="T18" s="174"/>
      <c r="U18" s="174"/>
      <c r="V18" s="174"/>
      <c r="W18" s="174"/>
      <c r="X18" s="174"/>
      <c r="Y18" s="174"/>
      <c r="Z18" s="174"/>
      <c r="AA18" s="174"/>
      <c r="AB18" s="174"/>
      <c r="AC18" s="174"/>
      <c r="AD18" s="174"/>
      <c r="AE18" s="166"/>
    </row>
    <row r="19" spans="1:42" ht="15.75" customHeight="1">
      <c r="A19" s="1467"/>
      <c r="B19" s="1471" t="s">
        <v>401</v>
      </c>
      <c r="C19" s="159" t="s">
        <v>312</v>
      </c>
      <c r="D19" s="167"/>
      <c r="E19" s="168"/>
      <c r="F19" s="168"/>
      <c r="G19" s="160">
        <f>SUM(G20:G21)</f>
        <v>11103800</v>
      </c>
      <c r="H19" s="169"/>
      <c r="I19" s="169"/>
      <c r="J19" s="170"/>
      <c r="K19" s="169"/>
      <c r="L19" s="170"/>
      <c r="M19" s="170"/>
      <c r="N19" s="171"/>
      <c r="O19" s="170"/>
      <c r="P19" s="170"/>
      <c r="Q19" s="172"/>
      <c r="R19" s="173"/>
      <c r="S19" s="174"/>
      <c r="T19" s="174"/>
      <c r="U19" s="174"/>
      <c r="V19" s="174"/>
      <c r="W19" s="174"/>
      <c r="X19" s="174"/>
      <c r="Y19" s="174"/>
      <c r="Z19" s="174"/>
      <c r="AA19" s="174"/>
      <c r="AB19" s="174"/>
      <c r="AC19" s="174"/>
      <c r="AD19" s="174"/>
      <c r="AE19" s="166"/>
    </row>
    <row r="20" spans="1:42" ht="18" customHeight="1">
      <c r="A20" s="1467"/>
      <c r="B20" s="1478"/>
      <c r="C20" s="194" t="s">
        <v>401</v>
      </c>
      <c r="D20" s="167"/>
      <c r="E20" s="168"/>
      <c r="F20" s="168"/>
      <c r="G20" s="177">
        <f>R20</f>
        <v>11103800</v>
      </c>
      <c r="H20" s="169">
        <v>236251</v>
      </c>
      <c r="I20" s="169" t="s">
        <v>406</v>
      </c>
      <c r="J20" s="170" t="s">
        <v>407</v>
      </c>
      <c r="K20" s="169">
        <v>47</v>
      </c>
      <c r="L20" s="170" t="s">
        <v>408</v>
      </c>
      <c r="M20" s="170" t="s">
        <v>407</v>
      </c>
      <c r="N20" s="171">
        <v>1</v>
      </c>
      <c r="O20" s="170" t="s">
        <v>392</v>
      </c>
      <c r="P20" s="170" t="s">
        <v>410</v>
      </c>
      <c r="Q20" s="172"/>
      <c r="R20" s="173">
        <f>ROUND(H20*K20*N20,-1)</f>
        <v>11103800</v>
      </c>
      <c r="S20" s="174"/>
      <c r="T20" s="174"/>
      <c r="U20" s="174"/>
      <c r="V20" s="174"/>
      <c r="W20" s="174"/>
      <c r="X20" s="174"/>
      <c r="Y20" s="174"/>
      <c r="Z20" s="174"/>
      <c r="AA20" s="174"/>
      <c r="AB20" s="174"/>
      <c r="AC20" s="174"/>
      <c r="AD20" s="174"/>
      <c r="AE20" s="166"/>
    </row>
    <row r="21" spans="1:42" ht="15.75" customHeight="1">
      <c r="A21" s="1467"/>
      <c r="B21" s="1472"/>
      <c r="C21" s="159" t="s">
        <v>403</v>
      </c>
      <c r="D21" s="167"/>
      <c r="E21" s="168"/>
      <c r="F21" s="168"/>
      <c r="G21" s="160"/>
      <c r="H21" s="169"/>
      <c r="I21" s="169"/>
      <c r="J21" s="170"/>
      <c r="K21" s="169"/>
      <c r="L21" s="170"/>
      <c r="M21" s="170"/>
      <c r="N21" s="171"/>
      <c r="O21" s="170"/>
      <c r="P21" s="170"/>
      <c r="Q21" s="172"/>
      <c r="R21" s="173"/>
      <c r="S21" s="174"/>
      <c r="T21" s="174"/>
      <c r="U21" s="174"/>
      <c r="V21" s="174"/>
      <c r="W21" s="174"/>
      <c r="X21" s="174"/>
      <c r="Y21" s="174"/>
      <c r="Z21" s="174"/>
      <c r="AA21" s="174"/>
      <c r="AB21" s="174"/>
      <c r="AC21" s="174"/>
      <c r="AD21" s="174"/>
      <c r="AE21" s="166"/>
    </row>
    <row r="22" spans="1:42" ht="15.75" hidden="1" customHeight="1">
      <c r="A22" s="1467"/>
      <c r="B22" s="1471" t="s">
        <v>342</v>
      </c>
      <c r="C22" s="159" t="s">
        <v>312</v>
      </c>
      <c r="D22" s="167"/>
      <c r="E22" s="168"/>
      <c r="F22" s="168"/>
      <c r="G22" s="160">
        <f>SUM(G23:G24)</f>
        <v>0</v>
      </c>
      <c r="H22" s="169"/>
      <c r="I22" s="169"/>
      <c r="J22" s="170"/>
      <c r="K22" s="169"/>
      <c r="L22" s="170"/>
      <c r="M22" s="170"/>
      <c r="N22" s="171"/>
      <c r="O22" s="170"/>
      <c r="P22" s="170"/>
      <c r="Q22" s="172"/>
      <c r="R22" s="173"/>
      <c r="S22" s="174"/>
      <c r="T22" s="174"/>
      <c r="U22" s="174"/>
      <c r="V22" s="174"/>
      <c r="W22" s="174"/>
      <c r="X22" s="174"/>
      <c r="Y22" s="174"/>
      <c r="Z22" s="174"/>
      <c r="AA22" s="174"/>
      <c r="AB22" s="174"/>
      <c r="AC22" s="174"/>
      <c r="AD22" s="174"/>
      <c r="AE22" s="166"/>
    </row>
    <row r="23" spans="1:42" ht="15.75" hidden="1" customHeight="1">
      <c r="A23" s="1467"/>
      <c r="B23" s="1478"/>
      <c r="C23" s="159" t="s">
        <v>342</v>
      </c>
      <c r="D23" s="167"/>
      <c r="E23" s="168"/>
      <c r="F23" s="168"/>
      <c r="G23" s="160">
        <f>R23</f>
        <v>0</v>
      </c>
      <c r="H23" s="169"/>
      <c r="I23" s="169" t="s">
        <v>406</v>
      </c>
      <c r="J23" s="170" t="s">
        <v>407</v>
      </c>
      <c r="K23" s="169">
        <v>51</v>
      </c>
      <c r="L23" s="170" t="s">
        <v>408</v>
      </c>
      <c r="M23" s="170" t="s">
        <v>407</v>
      </c>
      <c r="N23" s="171">
        <v>1</v>
      </c>
      <c r="O23" s="170" t="s">
        <v>411</v>
      </c>
      <c r="P23" s="170" t="s">
        <v>410</v>
      </c>
      <c r="Q23" s="172"/>
      <c r="R23" s="173">
        <f>ROUND(H23*K23*N23,-1)</f>
        <v>0</v>
      </c>
      <c r="S23" s="174"/>
      <c r="T23" s="174"/>
      <c r="U23" s="174"/>
      <c r="V23" s="174"/>
      <c r="W23" s="174"/>
      <c r="X23" s="174"/>
      <c r="Y23" s="174"/>
      <c r="Z23" s="174"/>
      <c r="AA23" s="174"/>
      <c r="AB23" s="174"/>
      <c r="AC23" s="174"/>
      <c r="AD23" s="174"/>
      <c r="AE23" s="166"/>
    </row>
    <row r="24" spans="1:42" ht="15.75" hidden="1" customHeight="1">
      <c r="A24" s="1477"/>
      <c r="B24" s="1472"/>
      <c r="C24" s="159" t="s">
        <v>412</v>
      </c>
      <c r="D24" s="167"/>
      <c r="E24" s="168"/>
      <c r="F24" s="168"/>
      <c r="G24" s="160">
        <f>R24</f>
        <v>0</v>
      </c>
      <c r="H24" s="169"/>
      <c r="I24" s="169" t="s">
        <v>406</v>
      </c>
      <c r="J24" s="170" t="s">
        <v>407</v>
      </c>
      <c r="K24" s="169"/>
      <c r="L24" s="170" t="s">
        <v>408</v>
      </c>
      <c r="M24" s="170" t="s">
        <v>407</v>
      </c>
      <c r="N24" s="171"/>
      <c r="O24" s="170" t="s">
        <v>413</v>
      </c>
      <c r="P24" s="170" t="s">
        <v>410</v>
      </c>
      <c r="Q24" s="172"/>
      <c r="R24" s="173">
        <f>H24*K24*N24</f>
        <v>0</v>
      </c>
      <c r="S24" s="174"/>
      <c r="T24" s="174"/>
      <c r="U24" s="174"/>
      <c r="V24" s="174"/>
      <c r="W24" s="174"/>
      <c r="X24" s="174"/>
      <c r="Y24" s="174"/>
      <c r="Z24" s="174"/>
      <c r="AA24" s="174"/>
      <c r="AB24" s="174"/>
      <c r="AC24" s="174"/>
      <c r="AD24" s="174"/>
      <c r="AE24" s="166"/>
    </row>
    <row r="25" spans="1:42" s="165" customFormat="1" ht="15.75" customHeight="1">
      <c r="A25" s="1466" t="s">
        <v>414</v>
      </c>
      <c r="B25" s="1469" t="s">
        <v>312</v>
      </c>
      <c r="C25" s="1470"/>
      <c r="D25" s="189"/>
      <c r="E25" s="190"/>
      <c r="F25" s="190"/>
      <c r="G25" s="191">
        <f>G26+G28+G31</f>
        <v>11103800</v>
      </c>
      <c r="H25" s="192"/>
      <c r="I25" s="192"/>
      <c r="J25" s="192"/>
      <c r="K25" s="192"/>
      <c r="L25" s="192"/>
      <c r="M25" s="192"/>
      <c r="N25" s="192"/>
      <c r="O25" s="192"/>
      <c r="P25" s="192"/>
      <c r="Q25" s="192"/>
      <c r="R25" s="193"/>
      <c r="S25" s="189"/>
      <c r="T25" s="189"/>
      <c r="U25" s="189"/>
      <c r="V25" s="189"/>
      <c r="W25" s="189"/>
      <c r="X25" s="189"/>
      <c r="Y25" s="189"/>
      <c r="Z25" s="189"/>
      <c r="AA25" s="189"/>
      <c r="AB25" s="189"/>
      <c r="AC25" s="189"/>
      <c r="AD25" s="189"/>
      <c r="AE25" s="163" t="s">
        <v>397</v>
      </c>
      <c r="AF25" s="164"/>
      <c r="AG25" s="164"/>
      <c r="AH25" s="164"/>
      <c r="AI25" s="164"/>
      <c r="AJ25" s="164"/>
      <c r="AL25" s="164"/>
      <c r="AM25" s="164"/>
      <c r="AN25" s="164"/>
      <c r="AO25" s="164"/>
      <c r="AP25" s="164"/>
    </row>
    <row r="26" spans="1:42" s="165" customFormat="1" ht="15.75" customHeight="1">
      <c r="A26" s="1467"/>
      <c r="B26" s="1471" t="s">
        <v>398</v>
      </c>
      <c r="C26" s="159" t="s">
        <v>312</v>
      </c>
      <c r="D26" s="158"/>
      <c r="E26" s="159"/>
      <c r="F26" s="159"/>
      <c r="G26" s="160">
        <f>G27</f>
        <v>0</v>
      </c>
      <c r="H26" s="161"/>
      <c r="I26" s="161"/>
      <c r="J26" s="161"/>
      <c r="K26" s="161"/>
      <c r="L26" s="161"/>
      <c r="M26" s="161"/>
      <c r="N26" s="161"/>
      <c r="O26" s="161"/>
      <c r="P26" s="161"/>
      <c r="Q26" s="161"/>
      <c r="R26" s="162"/>
      <c r="S26" s="158"/>
      <c r="T26" s="158"/>
      <c r="U26" s="158"/>
      <c r="V26" s="158"/>
      <c r="W26" s="158"/>
      <c r="X26" s="158"/>
      <c r="Y26" s="158"/>
      <c r="Z26" s="158"/>
      <c r="AA26" s="158"/>
      <c r="AB26" s="158"/>
      <c r="AC26" s="158"/>
      <c r="AD26" s="158"/>
      <c r="AE26" s="166"/>
      <c r="AF26" s="164"/>
      <c r="AG26" s="164"/>
      <c r="AH26" s="164"/>
      <c r="AI26" s="164"/>
      <c r="AJ26" s="164"/>
      <c r="AL26" s="164"/>
      <c r="AM26" s="164"/>
      <c r="AN26" s="164"/>
      <c r="AO26" s="164"/>
      <c r="AP26" s="164"/>
    </row>
    <row r="27" spans="1:42" ht="15.75" customHeight="1">
      <c r="A27" s="1467"/>
      <c r="B27" s="1472"/>
      <c r="C27" s="159" t="s">
        <v>399</v>
      </c>
      <c r="D27" s="167"/>
      <c r="E27" s="168"/>
      <c r="F27" s="168"/>
      <c r="G27" s="160">
        <f>R27</f>
        <v>0</v>
      </c>
      <c r="H27" s="169"/>
      <c r="I27" s="169" t="s">
        <v>406</v>
      </c>
      <c r="J27" s="170" t="s">
        <v>407</v>
      </c>
      <c r="K27" s="169"/>
      <c r="L27" s="170" t="s">
        <v>408</v>
      </c>
      <c r="M27" s="170" t="s">
        <v>407</v>
      </c>
      <c r="N27" s="171">
        <v>1</v>
      </c>
      <c r="O27" s="170" t="s">
        <v>409</v>
      </c>
      <c r="P27" s="170" t="s">
        <v>410</v>
      </c>
      <c r="Q27" s="172"/>
      <c r="R27" s="173">
        <f>H27*K27*N27</f>
        <v>0</v>
      </c>
      <c r="S27" s="174"/>
      <c r="T27" s="174"/>
      <c r="U27" s="174"/>
      <c r="V27" s="174"/>
      <c r="W27" s="174"/>
      <c r="X27" s="174"/>
      <c r="Y27" s="174"/>
      <c r="Z27" s="174"/>
      <c r="AA27" s="174"/>
      <c r="AB27" s="174"/>
      <c r="AC27" s="174"/>
      <c r="AD27" s="174"/>
      <c r="AE27" s="166" t="s">
        <v>415</v>
      </c>
    </row>
    <row r="28" spans="1:42" ht="15.75" customHeight="1">
      <c r="A28" s="1467"/>
      <c r="B28" s="1471" t="s">
        <v>401</v>
      </c>
      <c r="C28" s="159" t="s">
        <v>312</v>
      </c>
      <c r="D28" s="167"/>
      <c r="E28" s="168"/>
      <c r="F28" s="168"/>
      <c r="G28" s="160">
        <f>SUM(G29:G30)</f>
        <v>11103800</v>
      </c>
      <c r="H28" s="169"/>
      <c r="I28" s="169"/>
      <c r="J28" s="170"/>
      <c r="K28" s="169"/>
      <c r="L28" s="170"/>
      <c r="M28" s="170"/>
      <c r="N28" s="171"/>
      <c r="O28" s="170"/>
      <c r="P28" s="170"/>
      <c r="Q28" s="172"/>
      <c r="R28" s="173"/>
      <c r="S28" s="174"/>
      <c r="T28" s="174"/>
      <c r="U28" s="174"/>
      <c r="V28" s="174"/>
      <c r="W28" s="174"/>
      <c r="X28" s="174"/>
      <c r="Y28" s="174"/>
      <c r="Z28" s="174"/>
      <c r="AA28" s="174"/>
      <c r="AB28" s="174"/>
      <c r="AC28" s="174"/>
      <c r="AD28" s="174"/>
      <c r="AE28" s="166"/>
    </row>
    <row r="29" spans="1:42" ht="21.75" customHeight="1">
      <c r="A29" s="1467"/>
      <c r="B29" s="1478"/>
      <c r="C29" s="194" t="s">
        <v>401</v>
      </c>
      <c r="D29" s="167"/>
      <c r="E29" s="168"/>
      <c r="F29" s="168"/>
      <c r="G29" s="177">
        <f>R29</f>
        <v>11103800</v>
      </c>
      <c r="H29" s="169">
        <f>H20</f>
        <v>236251</v>
      </c>
      <c r="I29" s="169" t="s">
        <v>406</v>
      </c>
      <c r="J29" s="170" t="s">
        <v>407</v>
      </c>
      <c r="K29" s="169">
        <v>47</v>
      </c>
      <c r="L29" s="170" t="s">
        <v>408</v>
      </c>
      <c r="M29" s="170" t="s">
        <v>407</v>
      </c>
      <c r="N29" s="171">
        <v>1</v>
      </c>
      <c r="O29" s="170" t="s">
        <v>392</v>
      </c>
      <c r="P29" s="170" t="s">
        <v>410</v>
      </c>
      <c r="Q29" s="172"/>
      <c r="R29" s="173">
        <f>ROUND(H29*K29*N29,-1)</f>
        <v>11103800</v>
      </c>
      <c r="S29" s="174"/>
      <c r="T29" s="174"/>
      <c r="U29" s="174"/>
      <c r="V29" s="174"/>
      <c r="W29" s="174"/>
      <c r="X29" s="174"/>
      <c r="Y29" s="174"/>
      <c r="Z29" s="174"/>
      <c r="AA29" s="174"/>
      <c r="AB29" s="174"/>
      <c r="AC29" s="174"/>
      <c r="AD29" s="174"/>
      <c r="AE29" s="166"/>
    </row>
    <row r="30" spans="1:42" ht="15.75" customHeight="1">
      <c r="A30" s="1467"/>
      <c r="B30" s="1472"/>
      <c r="C30" s="159" t="s">
        <v>403</v>
      </c>
      <c r="D30" s="167"/>
      <c r="E30" s="168"/>
      <c r="F30" s="168"/>
      <c r="G30" s="160"/>
      <c r="H30" s="169"/>
      <c r="I30" s="169"/>
      <c r="J30" s="170"/>
      <c r="K30" s="169"/>
      <c r="L30" s="170"/>
      <c r="M30" s="170"/>
      <c r="N30" s="171"/>
      <c r="O30" s="170"/>
      <c r="P30" s="170"/>
      <c r="Q30" s="172"/>
      <c r="R30" s="173"/>
      <c r="S30" s="174"/>
      <c r="T30" s="174"/>
      <c r="U30" s="174"/>
      <c r="V30" s="174"/>
      <c r="W30" s="174"/>
      <c r="X30" s="174"/>
      <c r="Y30" s="174"/>
      <c r="Z30" s="174"/>
      <c r="AA30" s="174"/>
      <c r="AB30" s="174"/>
      <c r="AC30" s="174"/>
      <c r="AD30" s="174"/>
      <c r="AE30" s="166"/>
    </row>
    <row r="31" spans="1:42" ht="15.75" hidden="1" customHeight="1">
      <c r="A31" s="1467"/>
      <c r="B31" s="1471" t="s">
        <v>342</v>
      </c>
      <c r="C31" s="159" t="s">
        <v>312</v>
      </c>
      <c r="D31" s="167"/>
      <c r="E31" s="168"/>
      <c r="F31" s="168"/>
      <c r="G31" s="160">
        <f>SUM(G32:G33)</f>
        <v>0</v>
      </c>
      <c r="H31" s="169"/>
      <c r="I31" s="169"/>
      <c r="J31" s="170"/>
      <c r="K31" s="169"/>
      <c r="L31" s="170"/>
      <c r="M31" s="170"/>
      <c r="N31" s="171"/>
      <c r="O31" s="170"/>
      <c r="P31" s="170"/>
      <c r="Q31" s="172"/>
      <c r="R31" s="173"/>
      <c r="S31" s="174"/>
      <c r="T31" s="174"/>
      <c r="U31" s="174"/>
      <c r="V31" s="174"/>
      <c r="W31" s="174"/>
      <c r="X31" s="174"/>
      <c r="Y31" s="174"/>
      <c r="Z31" s="174"/>
      <c r="AA31" s="174"/>
      <c r="AB31" s="174"/>
      <c r="AC31" s="174"/>
      <c r="AD31" s="174"/>
      <c r="AE31" s="166"/>
    </row>
    <row r="32" spans="1:42" ht="15.75" hidden="1" customHeight="1">
      <c r="A32" s="1467"/>
      <c r="B32" s="1478"/>
      <c r="C32" s="159" t="s">
        <v>342</v>
      </c>
      <c r="D32" s="167"/>
      <c r="E32" s="168"/>
      <c r="F32" s="168"/>
      <c r="G32" s="160">
        <f>R32</f>
        <v>0</v>
      </c>
      <c r="H32" s="169">
        <f>H23</f>
        <v>0</v>
      </c>
      <c r="I32" s="169" t="s">
        <v>406</v>
      </c>
      <c r="J32" s="170" t="s">
        <v>407</v>
      </c>
      <c r="K32" s="169">
        <v>51</v>
      </c>
      <c r="L32" s="170" t="s">
        <v>408</v>
      </c>
      <c r="M32" s="170" t="s">
        <v>407</v>
      </c>
      <c r="N32" s="171">
        <v>1</v>
      </c>
      <c r="O32" s="170" t="s">
        <v>411</v>
      </c>
      <c r="P32" s="170" t="s">
        <v>410</v>
      </c>
      <c r="Q32" s="172"/>
      <c r="R32" s="173">
        <f>ROUND(H32*K32*N32,-1)</f>
        <v>0</v>
      </c>
      <c r="S32" s="174"/>
      <c r="T32" s="174"/>
      <c r="U32" s="174"/>
      <c r="V32" s="174"/>
      <c r="W32" s="174"/>
      <c r="X32" s="174"/>
      <c r="Y32" s="174"/>
      <c r="Z32" s="174"/>
      <c r="AA32" s="174"/>
      <c r="AB32" s="174"/>
      <c r="AC32" s="174"/>
      <c r="AD32" s="174"/>
      <c r="AE32" s="166"/>
    </row>
    <row r="33" spans="1:42" ht="15.75" hidden="1" customHeight="1">
      <c r="A33" s="1477"/>
      <c r="B33" s="1472"/>
      <c r="C33" s="159" t="s">
        <v>412</v>
      </c>
      <c r="D33" s="167"/>
      <c r="E33" s="168"/>
      <c r="F33" s="168"/>
      <c r="G33" s="160">
        <f>R33</f>
        <v>0</v>
      </c>
      <c r="H33" s="169"/>
      <c r="I33" s="169" t="s">
        <v>406</v>
      </c>
      <c r="J33" s="170" t="s">
        <v>407</v>
      </c>
      <c r="K33" s="169"/>
      <c r="L33" s="170" t="s">
        <v>408</v>
      </c>
      <c r="M33" s="170" t="s">
        <v>407</v>
      </c>
      <c r="N33" s="171"/>
      <c r="O33" s="170" t="s">
        <v>413</v>
      </c>
      <c r="P33" s="170" t="s">
        <v>410</v>
      </c>
      <c r="Q33" s="172"/>
      <c r="R33" s="173">
        <f>H33*K33*N33</f>
        <v>0</v>
      </c>
      <c r="S33" s="174"/>
      <c r="T33" s="174"/>
      <c r="U33" s="174"/>
      <c r="V33" s="174"/>
      <c r="W33" s="174"/>
      <c r="X33" s="174"/>
      <c r="Y33" s="174"/>
      <c r="Z33" s="174"/>
      <c r="AA33" s="174"/>
      <c r="AB33" s="174"/>
      <c r="AC33" s="174"/>
      <c r="AD33" s="174"/>
      <c r="AE33" s="166"/>
    </row>
    <row r="34" spans="1:42" s="165" customFormat="1" ht="15.75" customHeight="1">
      <c r="A34" s="1466" t="s">
        <v>416</v>
      </c>
      <c r="B34" s="1469" t="s">
        <v>312</v>
      </c>
      <c r="C34" s="1470"/>
      <c r="D34" s="189"/>
      <c r="E34" s="190"/>
      <c r="F34" s="190"/>
      <c r="G34" s="191">
        <f>G35+G37+G40</f>
        <v>11340050</v>
      </c>
      <c r="H34" s="192"/>
      <c r="I34" s="192"/>
      <c r="J34" s="192"/>
      <c r="K34" s="192"/>
      <c r="L34" s="192"/>
      <c r="M34" s="192"/>
      <c r="N34" s="192"/>
      <c r="O34" s="192"/>
      <c r="P34" s="192"/>
      <c r="Q34" s="192"/>
      <c r="R34" s="193"/>
      <c r="S34" s="189"/>
      <c r="T34" s="189"/>
      <c r="U34" s="189"/>
      <c r="V34" s="189"/>
      <c r="W34" s="189"/>
      <c r="X34" s="189"/>
      <c r="Y34" s="189"/>
      <c r="Z34" s="189"/>
      <c r="AA34" s="189"/>
      <c r="AB34" s="189"/>
      <c r="AC34" s="189"/>
      <c r="AD34" s="189"/>
      <c r="AE34" s="163" t="s">
        <v>397</v>
      </c>
      <c r="AF34" s="164"/>
      <c r="AG34" s="164"/>
      <c r="AH34" s="164"/>
      <c r="AI34" s="164"/>
      <c r="AJ34" s="164"/>
      <c r="AL34" s="164"/>
      <c r="AM34" s="164"/>
      <c r="AN34" s="164"/>
      <c r="AO34" s="164"/>
      <c r="AP34" s="164"/>
    </row>
    <row r="35" spans="1:42" s="165" customFormat="1" ht="15.75" customHeight="1">
      <c r="A35" s="1467"/>
      <c r="B35" s="1471" t="s">
        <v>398</v>
      </c>
      <c r="C35" s="159" t="s">
        <v>312</v>
      </c>
      <c r="D35" s="158"/>
      <c r="E35" s="159"/>
      <c r="F35" s="159"/>
      <c r="G35" s="160">
        <f>G36</f>
        <v>0</v>
      </c>
      <c r="H35" s="161"/>
      <c r="I35" s="161"/>
      <c r="J35" s="161"/>
      <c r="K35" s="161"/>
      <c r="L35" s="161"/>
      <c r="M35" s="161"/>
      <c r="N35" s="161"/>
      <c r="O35" s="161"/>
      <c r="P35" s="161"/>
      <c r="Q35" s="161"/>
      <c r="R35" s="162"/>
      <c r="S35" s="158"/>
      <c r="T35" s="158"/>
      <c r="U35" s="158"/>
      <c r="V35" s="158"/>
      <c r="W35" s="158"/>
      <c r="X35" s="158"/>
      <c r="Y35" s="158"/>
      <c r="Z35" s="158"/>
      <c r="AA35" s="158"/>
      <c r="AB35" s="158"/>
      <c r="AC35" s="158"/>
      <c r="AD35" s="158"/>
      <c r="AE35" s="166"/>
      <c r="AF35" s="164"/>
      <c r="AG35" s="164"/>
      <c r="AH35" s="164"/>
      <c r="AI35" s="164"/>
      <c r="AJ35" s="164"/>
      <c r="AL35" s="164"/>
      <c r="AM35" s="164"/>
      <c r="AN35" s="164"/>
      <c r="AO35" s="164"/>
      <c r="AP35" s="164"/>
    </row>
    <row r="36" spans="1:42" ht="15.75" customHeight="1">
      <c r="A36" s="1467"/>
      <c r="B36" s="1472"/>
      <c r="C36" s="159" t="s">
        <v>399</v>
      </c>
      <c r="D36" s="167"/>
      <c r="E36" s="168"/>
      <c r="F36" s="168"/>
      <c r="G36" s="160">
        <f>R36</f>
        <v>0</v>
      </c>
      <c r="H36" s="169"/>
      <c r="I36" s="169" t="s">
        <v>406</v>
      </c>
      <c r="J36" s="170" t="s">
        <v>407</v>
      </c>
      <c r="K36" s="169"/>
      <c r="L36" s="170" t="s">
        <v>408</v>
      </c>
      <c r="M36" s="170" t="s">
        <v>407</v>
      </c>
      <c r="N36" s="171"/>
      <c r="O36" s="170" t="s">
        <v>409</v>
      </c>
      <c r="P36" s="170" t="s">
        <v>410</v>
      </c>
      <c r="Q36" s="172"/>
      <c r="R36" s="173">
        <f>H36*K36*N36</f>
        <v>0</v>
      </c>
      <c r="S36" s="174"/>
      <c r="T36" s="174"/>
      <c r="U36" s="174"/>
      <c r="V36" s="174"/>
      <c r="W36" s="174"/>
      <c r="X36" s="174"/>
      <c r="Y36" s="174"/>
      <c r="Z36" s="174"/>
      <c r="AA36" s="174"/>
      <c r="AB36" s="174"/>
      <c r="AC36" s="174"/>
      <c r="AD36" s="174"/>
      <c r="AE36" s="166"/>
    </row>
    <row r="37" spans="1:42" ht="15.75" customHeight="1">
      <c r="A37" s="1467"/>
      <c r="B37" s="1471" t="s">
        <v>401</v>
      </c>
      <c r="C37" s="159" t="s">
        <v>312</v>
      </c>
      <c r="D37" s="167"/>
      <c r="E37" s="168"/>
      <c r="F37" s="168"/>
      <c r="G37" s="160">
        <f>SUM(G38:G39)</f>
        <v>11340050</v>
      </c>
      <c r="H37" s="169"/>
      <c r="I37" s="169"/>
      <c r="J37" s="170"/>
      <c r="K37" s="169"/>
      <c r="L37" s="170"/>
      <c r="M37" s="170"/>
      <c r="N37" s="171"/>
      <c r="O37" s="170"/>
      <c r="P37" s="170"/>
      <c r="Q37" s="172"/>
      <c r="R37" s="173"/>
      <c r="S37" s="174"/>
      <c r="T37" s="174"/>
      <c r="U37" s="174"/>
      <c r="V37" s="174"/>
      <c r="W37" s="174"/>
      <c r="X37" s="174"/>
      <c r="Y37" s="174"/>
      <c r="Z37" s="174"/>
      <c r="AA37" s="174"/>
      <c r="AB37" s="174"/>
      <c r="AC37" s="174"/>
      <c r="AD37" s="174"/>
      <c r="AE37" s="166"/>
    </row>
    <row r="38" spans="1:42" ht="21.75" customHeight="1">
      <c r="A38" s="1467"/>
      <c r="B38" s="1478"/>
      <c r="C38" s="194" t="s">
        <v>401</v>
      </c>
      <c r="D38" s="167"/>
      <c r="E38" s="168"/>
      <c r="F38" s="168"/>
      <c r="G38" s="177">
        <f>R38</f>
        <v>11340050</v>
      </c>
      <c r="H38" s="169">
        <f>H29</f>
        <v>236251</v>
      </c>
      <c r="I38" s="169" t="s">
        <v>406</v>
      </c>
      <c r="J38" s="170" t="s">
        <v>407</v>
      </c>
      <c r="K38" s="169">
        <v>48</v>
      </c>
      <c r="L38" s="170" t="s">
        <v>408</v>
      </c>
      <c r="M38" s="170" t="s">
        <v>407</v>
      </c>
      <c r="N38" s="171">
        <v>1</v>
      </c>
      <c r="O38" s="170" t="s">
        <v>392</v>
      </c>
      <c r="P38" s="170" t="s">
        <v>410</v>
      </c>
      <c r="Q38" s="172"/>
      <c r="R38" s="173">
        <f>ROUND(H38*K38*N38,-1)</f>
        <v>11340050</v>
      </c>
      <c r="S38" s="174"/>
      <c r="T38" s="174"/>
      <c r="U38" s="174"/>
      <c r="V38" s="174"/>
      <c r="W38" s="174"/>
      <c r="X38" s="174"/>
      <c r="Y38" s="174"/>
      <c r="Z38" s="174"/>
      <c r="AA38" s="174"/>
      <c r="AB38" s="174"/>
      <c r="AC38" s="174"/>
      <c r="AD38" s="174"/>
      <c r="AE38" s="166"/>
    </row>
    <row r="39" spans="1:42" ht="15.75" customHeight="1">
      <c r="A39" s="1467"/>
      <c r="B39" s="1472"/>
      <c r="C39" s="159" t="s">
        <v>403</v>
      </c>
      <c r="D39" s="167"/>
      <c r="E39" s="168"/>
      <c r="F39" s="168"/>
      <c r="G39" s="160"/>
      <c r="H39" s="169"/>
      <c r="I39" s="169"/>
      <c r="J39" s="170"/>
      <c r="K39" s="169"/>
      <c r="L39" s="170"/>
      <c r="M39" s="170"/>
      <c r="N39" s="171"/>
      <c r="O39" s="170"/>
      <c r="P39" s="170"/>
      <c r="Q39" s="172"/>
      <c r="R39" s="173"/>
      <c r="S39" s="174"/>
      <c r="T39" s="174"/>
      <c r="U39" s="174"/>
      <c r="V39" s="174"/>
      <c r="W39" s="174"/>
      <c r="X39" s="174"/>
      <c r="Y39" s="174"/>
      <c r="Z39" s="174"/>
      <c r="AA39" s="174"/>
      <c r="AB39" s="174"/>
      <c r="AC39" s="174"/>
      <c r="AD39" s="174"/>
      <c r="AE39" s="166"/>
    </row>
    <row r="40" spans="1:42" ht="15.75" hidden="1" customHeight="1">
      <c r="A40" s="1467"/>
      <c r="B40" s="1471" t="s">
        <v>342</v>
      </c>
      <c r="C40" s="159" t="s">
        <v>312</v>
      </c>
      <c r="D40" s="167"/>
      <c r="E40" s="168"/>
      <c r="F40" s="168"/>
      <c r="G40" s="160">
        <f>SUM(G41:G42)</f>
        <v>0</v>
      </c>
      <c r="H40" s="169"/>
      <c r="I40" s="169"/>
      <c r="J40" s="170"/>
      <c r="K40" s="169"/>
      <c r="L40" s="170"/>
      <c r="M40" s="170"/>
      <c r="N40" s="171"/>
      <c r="O40" s="170"/>
      <c r="P40" s="170"/>
      <c r="Q40" s="172"/>
      <c r="R40" s="173"/>
      <c r="S40" s="174"/>
      <c r="T40" s="174"/>
      <c r="U40" s="174"/>
      <c r="V40" s="174"/>
      <c r="W40" s="174"/>
      <c r="X40" s="174"/>
      <c r="Y40" s="174"/>
      <c r="Z40" s="174"/>
      <c r="AA40" s="174"/>
      <c r="AB40" s="174"/>
      <c r="AC40" s="174"/>
      <c r="AD40" s="174"/>
      <c r="AE40" s="166"/>
    </row>
    <row r="41" spans="1:42" ht="15.75" hidden="1" customHeight="1">
      <c r="A41" s="1467"/>
      <c r="B41" s="1478"/>
      <c r="C41" s="159" t="s">
        <v>342</v>
      </c>
      <c r="D41" s="167"/>
      <c r="E41" s="168"/>
      <c r="F41" s="168"/>
      <c r="G41" s="160">
        <f>R41</f>
        <v>0</v>
      </c>
      <c r="H41" s="169">
        <f>H32</f>
        <v>0</v>
      </c>
      <c r="I41" s="169" t="s">
        <v>406</v>
      </c>
      <c r="J41" s="170" t="s">
        <v>407</v>
      </c>
      <c r="K41" s="169">
        <v>51</v>
      </c>
      <c r="L41" s="170" t="s">
        <v>408</v>
      </c>
      <c r="M41" s="170" t="s">
        <v>407</v>
      </c>
      <c r="N41" s="171">
        <v>1</v>
      </c>
      <c r="O41" s="170" t="s">
        <v>411</v>
      </c>
      <c r="P41" s="170" t="s">
        <v>410</v>
      </c>
      <c r="Q41" s="172"/>
      <c r="R41" s="173">
        <f>ROUND(H41*K41*N41,-1)</f>
        <v>0</v>
      </c>
      <c r="S41" s="174"/>
      <c r="T41" s="174"/>
      <c r="U41" s="174"/>
      <c r="V41" s="174"/>
      <c r="W41" s="174"/>
      <c r="X41" s="174"/>
      <c r="Y41" s="174"/>
      <c r="Z41" s="174"/>
      <c r="AA41" s="174"/>
      <c r="AB41" s="174"/>
      <c r="AC41" s="174"/>
      <c r="AD41" s="174"/>
      <c r="AE41" s="166"/>
    </row>
    <row r="42" spans="1:42" ht="15.75" hidden="1" customHeight="1">
      <c r="A42" s="1477"/>
      <c r="B42" s="1472"/>
      <c r="C42" s="159" t="s">
        <v>412</v>
      </c>
      <c r="D42" s="167"/>
      <c r="E42" s="168"/>
      <c r="F42" s="168"/>
      <c r="G42" s="160">
        <f>R42</f>
        <v>0</v>
      </c>
      <c r="H42" s="169"/>
      <c r="I42" s="169" t="s">
        <v>406</v>
      </c>
      <c r="J42" s="170" t="s">
        <v>407</v>
      </c>
      <c r="K42" s="169"/>
      <c r="L42" s="170" t="s">
        <v>408</v>
      </c>
      <c r="M42" s="170" t="s">
        <v>407</v>
      </c>
      <c r="N42" s="171"/>
      <c r="O42" s="170" t="s">
        <v>413</v>
      </c>
      <c r="P42" s="170" t="s">
        <v>410</v>
      </c>
      <c r="Q42" s="172"/>
      <c r="R42" s="173">
        <f>H42*K42*N42</f>
        <v>0</v>
      </c>
      <c r="S42" s="174"/>
      <c r="T42" s="174"/>
      <c r="U42" s="174"/>
      <c r="V42" s="174"/>
      <c r="W42" s="174"/>
      <c r="X42" s="174"/>
      <c r="Y42" s="174"/>
      <c r="Z42" s="174"/>
      <c r="AA42" s="174"/>
      <c r="AB42" s="174"/>
      <c r="AC42" s="174"/>
      <c r="AD42" s="174"/>
      <c r="AE42" s="166"/>
    </row>
    <row r="43" spans="1:42" s="165" customFormat="1" ht="15.75" customHeight="1">
      <c r="A43" s="1466" t="s">
        <v>417</v>
      </c>
      <c r="B43" s="1469" t="s">
        <v>312</v>
      </c>
      <c r="C43" s="1470"/>
      <c r="D43" s="189"/>
      <c r="E43" s="190"/>
      <c r="F43" s="190"/>
      <c r="G43" s="191">
        <f>G44+G46+G49</f>
        <v>11340050</v>
      </c>
      <c r="H43" s="192"/>
      <c r="I43" s="192"/>
      <c r="J43" s="192"/>
      <c r="K43" s="192"/>
      <c r="L43" s="192"/>
      <c r="M43" s="192"/>
      <c r="N43" s="192"/>
      <c r="O43" s="192"/>
      <c r="P43" s="192"/>
      <c r="Q43" s="192"/>
      <c r="R43" s="193"/>
      <c r="S43" s="189"/>
      <c r="T43" s="189"/>
      <c r="U43" s="189"/>
      <c r="V43" s="189"/>
      <c r="W43" s="189"/>
      <c r="X43" s="189"/>
      <c r="Y43" s="189"/>
      <c r="Z43" s="189"/>
      <c r="AA43" s="189"/>
      <c r="AB43" s="189"/>
      <c r="AC43" s="189"/>
      <c r="AD43" s="189"/>
      <c r="AE43" s="163" t="s">
        <v>397</v>
      </c>
      <c r="AF43" s="164"/>
      <c r="AG43" s="164"/>
      <c r="AH43" s="164"/>
      <c r="AI43" s="164"/>
      <c r="AJ43" s="164"/>
      <c r="AL43" s="164"/>
      <c r="AM43" s="164"/>
      <c r="AN43" s="164"/>
      <c r="AO43" s="164"/>
      <c r="AP43" s="164"/>
    </row>
    <row r="44" spans="1:42" s="165" customFormat="1" ht="15.75" customHeight="1">
      <c r="A44" s="1481"/>
      <c r="B44" s="1471" t="s">
        <v>398</v>
      </c>
      <c r="C44" s="159" t="s">
        <v>312</v>
      </c>
      <c r="D44" s="158"/>
      <c r="E44" s="159"/>
      <c r="F44" s="159"/>
      <c r="G44" s="160">
        <f>G45</f>
        <v>0</v>
      </c>
      <c r="H44" s="161"/>
      <c r="I44" s="161"/>
      <c r="J44" s="161"/>
      <c r="K44" s="161"/>
      <c r="L44" s="161"/>
      <c r="M44" s="161"/>
      <c r="N44" s="161"/>
      <c r="O44" s="161"/>
      <c r="P44" s="161"/>
      <c r="Q44" s="161"/>
      <c r="R44" s="162"/>
      <c r="S44" s="158"/>
      <c r="T44" s="158"/>
      <c r="U44" s="158"/>
      <c r="V44" s="158"/>
      <c r="W44" s="158"/>
      <c r="X44" s="158"/>
      <c r="Y44" s="158"/>
      <c r="Z44" s="158"/>
      <c r="AA44" s="158"/>
      <c r="AB44" s="158"/>
      <c r="AC44" s="158"/>
      <c r="AD44" s="158"/>
      <c r="AE44" s="166"/>
      <c r="AF44" s="164"/>
      <c r="AG44" s="164"/>
      <c r="AH44" s="164"/>
      <c r="AI44" s="164"/>
      <c r="AJ44" s="164"/>
      <c r="AL44" s="164"/>
      <c r="AM44" s="164"/>
      <c r="AN44" s="164"/>
      <c r="AO44" s="164"/>
      <c r="AP44" s="164"/>
    </row>
    <row r="45" spans="1:42" ht="15.75" customHeight="1">
      <c r="A45" s="1481"/>
      <c r="B45" s="1472"/>
      <c r="C45" s="159" t="s">
        <v>399</v>
      </c>
      <c r="D45" s="167"/>
      <c r="E45" s="168"/>
      <c r="F45" s="168"/>
      <c r="G45" s="160">
        <f>R45</f>
        <v>0</v>
      </c>
      <c r="H45" s="169"/>
      <c r="I45" s="169" t="s">
        <v>406</v>
      </c>
      <c r="J45" s="170" t="s">
        <v>407</v>
      </c>
      <c r="K45" s="169"/>
      <c r="L45" s="170" t="s">
        <v>408</v>
      </c>
      <c r="M45" s="170" t="s">
        <v>407</v>
      </c>
      <c r="N45" s="171"/>
      <c r="O45" s="170" t="s">
        <v>409</v>
      </c>
      <c r="P45" s="170" t="s">
        <v>410</v>
      </c>
      <c r="Q45" s="172"/>
      <c r="R45" s="173">
        <f>H45*K45*N45</f>
        <v>0</v>
      </c>
      <c r="S45" s="174"/>
      <c r="T45" s="174"/>
      <c r="U45" s="174"/>
      <c r="V45" s="174"/>
      <c r="W45" s="174"/>
      <c r="X45" s="174"/>
      <c r="Y45" s="174"/>
      <c r="Z45" s="174"/>
      <c r="AA45" s="174"/>
      <c r="AB45" s="174"/>
      <c r="AC45" s="174"/>
      <c r="AD45" s="174"/>
      <c r="AE45" s="166"/>
    </row>
    <row r="46" spans="1:42" ht="15.75" customHeight="1">
      <c r="A46" s="1481"/>
      <c r="B46" s="1483" t="s">
        <v>401</v>
      </c>
      <c r="C46" s="159" t="s">
        <v>312</v>
      </c>
      <c r="D46" s="167"/>
      <c r="E46" s="168"/>
      <c r="F46" s="168"/>
      <c r="G46" s="160">
        <f>SUM(G47:G48)</f>
        <v>11340050</v>
      </c>
      <c r="H46" s="169"/>
      <c r="I46" s="169"/>
      <c r="J46" s="170"/>
      <c r="K46" s="169"/>
      <c r="L46" s="170"/>
      <c r="M46" s="170"/>
      <c r="N46" s="171"/>
      <c r="O46" s="170"/>
      <c r="P46" s="170"/>
      <c r="Q46" s="172"/>
      <c r="R46" s="173"/>
      <c r="S46" s="174"/>
      <c r="T46" s="174"/>
      <c r="U46" s="174"/>
      <c r="V46" s="174"/>
      <c r="W46" s="174"/>
      <c r="X46" s="174"/>
      <c r="Y46" s="174"/>
      <c r="Z46" s="174"/>
      <c r="AA46" s="174"/>
      <c r="AB46" s="174"/>
      <c r="AC46" s="174"/>
      <c r="AD46" s="174"/>
      <c r="AE46" s="166"/>
    </row>
    <row r="47" spans="1:42" ht="21.75" customHeight="1">
      <c r="A47" s="1481"/>
      <c r="B47" s="1483"/>
      <c r="C47" s="194" t="s">
        <v>418</v>
      </c>
      <c r="D47" s="167"/>
      <c r="E47" s="168"/>
      <c r="F47" s="168"/>
      <c r="G47" s="177">
        <f>R47</f>
        <v>11340050</v>
      </c>
      <c r="H47" s="169">
        <f>H38</f>
        <v>236251</v>
      </c>
      <c r="I47" s="169" t="s">
        <v>406</v>
      </c>
      <c r="J47" s="170" t="s">
        <v>407</v>
      </c>
      <c r="K47" s="169">
        <v>48</v>
      </c>
      <c r="L47" s="170" t="s">
        <v>408</v>
      </c>
      <c r="M47" s="170" t="s">
        <v>407</v>
      </c>
      <c r="N47" s="171">
        <v>1</v>
      </c>
      <c r="O47" s="170" t="s">
        <v>392</v>
      </c>
      <c r="P47" s="170" t="s">
        <v>410</v>
      </c>
      <c r="Q47" s="172"/>
      <c r="R47" s="173">
        <f>ROUND(H47*K47*N47,-1)</f>
        <v>11340050</v>
      </c>
      <c r="S47" s="174"/>
      <c r="T47" s="174"/>
      <c r="U47" s="174"/>
      <c r="V47" s="174"/>
      <c r="W47" s="174"/>
      <c r="X47" s="174"/>
      <c r="Y47" s="174"/>
      <c r="Z47" s="174"/>
      <c r="AA47" s="174"/>
      <c r="AB47" s="174"/>
      <c r="AC47" s="174"/>
      <c r="AD47" s="174"/>
      <c r="AE47" s="166"/>
    </row>
    <row r="48" spans="1:42" ht="15.75" customHeight="1">
      <c r="A48" s="1481"/>
      <c r="B48" s="1483"/>
      <c r="C48" s="159" t="s">
        <v>403</v>
      </c>
      <c r="D48" s="167"/>
      <c r="E48" s="168"/>
      <c r="F48" s="168"/>
      <c r="G48" s="160"/>
      <c r="H48" s="169"/>
      <c r="I48" s="169"/>
      <c r="J48" s="170"/>
      <c r="K48" s="169"/>
      <c r="L48" s="170"/>
      <c r="M48" s="170"/>
      <c r="N48" s="171"/>
      <c r="O48" s="170"/>
      <c r="P48" s="170"/>
      <c r="Q48" s="172"/>
      <c r="R48" s="173"/>
      <c r="S48" s="174"/>
      <c r="T48" s="174"/>
      <c r="U48" s="174"/>
      <c r="V48" s="174"/>
      <c r="W48" s="174"/>
      <c r="X48" s="174"/>
      <c r="Y48" s="174"/>
      <c r="Z48" s="174"/>
      <c r="AA48" s="174"/>
      <c r="AB48" s="174"/>
      <c r="AC48" s="174"/>
      <c r="AD48" s="174"/>
      <c r="AE48" s="166"/>
    </row>
    <row r="49" spans="1:42" ht="15.75" hidden="1" customHeight="1">
      <c r="A49" s="1481"/>
      <c r="B49" s="1483" t="s">
        <v>342</v>
      </c>
      <c r="C49" s="159" t="s">
        <v>312</v>
      </c>
      <c r="D49" s="167"/>
      <c r="E49" s="168"/>
      <c r="F49" s="168"/>
      <c r="G49" s="160">
        <f>SUM(G50:G51)</f>
        <v>0</v>
      </c>
      <c r="H49" s="169"/>
      <c r="I49" s="169"/>
      <c r="J49" s="170"/>
      <c r="K49" s="169"/>
      <c r="L49" s="170"/>
      <c r="M49" s="170"/>
      <c r="N49" s="171"/>
      <c r="O49" s="170"/>
      <c r="P49" s="170"/>
      <c r="Q49" s="172"/>
      <c r="R49" s="173"/>
      <c r="S49" s="174"/>
      <c r="T49" s="174"/>
      <c r="U49" s="174"/>
      <c r="V49" s="174"/>
      <c r="W49" s="174"/>
      <c r="X49" s="174"/>
      <c r="Y49" s="174"/>
      <c r="Z49" s="174"/>
      <c r="AA49" s="174"/>
      <c r="AB49" s="174"/>
      <c r="AC49" s="174"/>
      <c r="AD49" s="174"/>
      <c r="AE49" s="166"/>
    </row>
    <row r="50" spans="1:42" ht="15.75" hidden="1" customHeight="1">
      <c r="A50" s="1481"/>
      <c r="B50" s="1483"/>
      <c r="C50" s="159" t="s">
        <v>342</v>
      </c>
      <c r="D50" s="167"/>
      <c r="E50" s="168"/>
      <c r="F50" s="168"/>
      <c r="G50" s="160">
        <f>R50</f>
        <v>0</v>
      </c>
      <c r="H50" s="169">
        <f>H41</f>
        <v>0</v>
      </c>
      <c r="I50" s="169" t="s">
        <v>406</v>
      </c>
      <c r="J50" s="170" t="s">
        <v>407</v>
      </c>
      <c r="K50" s="169">
        <v>51</v>
      </c>
      <c r="L50" s="170" t="s">
        <v>408</v>
      </c>
      <c r="M50" s="170" t="s">
        <v>407</v>
      </c>
      <c r="N50" s="171">
        <v>1</v>
      </c>
      <c r="O50" s="170" t="s">
        <v>411</v>
      </c>
      <c r="P50" s="170" t="s">
        <v>410</v>
      </c>
      <c r="Q50" s="172"/>
      <c r="R50" s="173">
        <f>ROUND(H50*K50*N50,-1)</f>
        <v>0</v>
      </c>
      <c r="S50" s="174"/>
      <c r="T50" s="174"/>
      <c r="U50" s="174"/>
      <c r="V50" s="174"/>
      <c r="W50" s="174"/>
      <c r="X50" s="174"/>
      <c r="Y50" s="174"/>
      <c r="Z50" s="174"/>
      <c r="AA50" s="174"/>
      <c r="AB50" s="174"/>
      <c r="AC50" s="174"/>
      <c r="AD50" s="174"/>
      <c r="AE50" s="166"/>
    </row>
    <row r="51" spans="1:42" ht="15.75" hidden="1" customHeight="1">
      <c r="A51" s="1482"/>
      <c r="B51" s="1483"/>
      <c r="C51" s="159" t="s">
        <v>412</v>
      </c>
      <c r="D51" s="167"/>
      <c r="E51" s="168"/>
      <c r="F51" s="168"/>
      <c r="G51" s="160">
        <f>R51</f>
        <v>0</v>
      </c>
      <c r="H51" s="169"/>
      <c r="I51" s="169" t="s">
        <v>406</v>
      </c>
      <c r="J51" s="170" t="s">
        <v>407</v>
      </c>
      <c r="K51" s="169"/>
      <c r="L51" s="170" t="s">
        <v>408</v>
      </c>
      <c r="M51" s="170" t="s">
        <v>407</v>
      </c>
      <c r="N51" s="171"/>
      <c r="O51" s="170" t="s">
        <v>413</v>
      </c>
      <c r="P51" s="170" t="s">
        <v>410</v>
      </c>
      <c r="Q51" s="172"/>
      <c r="R51" s="173">
        <f>H51*K51*N51</f>
        <v>0</v>
      </c>
      <c r="S51" s="174"/>
      <c r="T51" s="174"/>
      <c r="U51" s="174"/>
      <c r="V51" s="174"/>
      <c r="W51" s="174"/>
      <c r="X51" s="174"/>
      <c r="Y51" s="174"/>
      <c r="Z51" s="174"/>
      <c r="AA51" s="174"/>
      <c r="AB51" s="174"/>
      <c r="AC51" s="174"/>
      <c r="AD51" s="174"/>
      <c r="AE51" s="166"/>
    </row>
    <row r="52" spans="1:42" s="165" customFormat="1" ht="15.75" customHeight="1">
      <c r="A52" s="1466" t="s">
        <v>419</v>
      </c>
      <c r="B52" s="1469" t="s">
        <v>312</v>
      </c>
      <c r="C52" s="1470"/>
      <c r="D52" s="158"/>
      <c r="E52" s="159"/>
      <c r="F52" s="159"/>
      <c r="G52" s="160">
        <f>G53+G55+G58</f>
        <v>11340050</v>
      </c>
      <c r="H52" s="161"/>
      <c r="I52" s="161"/>
      <c r="J52" s="161"/>
      <c r="K52" s="161"/>
      <c r="L52" s="161"/>
      <c r="M52" s="161"/>
      <c r="N52" s="161"/>
      <c r="O52" s="161"/>
      <c r="P52" s="161"/>
      <c r="Q52" s="161"/>
      <c r="R52" s="162"/>
      <c r="S52" s="158"/>
      <c r="T52" s="158"/>
      <c r="U52" s="158"/>
      <c r="V52" s="158"/>
      <c r="W52" s="158"/>
      <c r="X52" s="158"/>
      <c r="Y52" s="158"/>
      <c r="Z52" s="158"/>
      <c r="AA52" s="158"/>
      <c r="AB52" s="158"/>
      <c r="AC52" s="158"/>
      <c r="AD52" s="158"/>
      <c r="AE52" s="163" t="s">
        <v>397</v>
      </c>
      <c r="AF52" s="164"/>
      <c r="AG52" s="164"/>
      <c r="AH52" s="164"/>
      <c r="AI52" s="164"/>
      <c r="AJ52" s="164"/>
      <c r="AL52" s="164"/>
      <c r="AM52" s="164"/>
      <c r="AN52" s="164"/>
      <c r="AO52" s="164"/>
      <c r="AP52" s="164"/>
    </row>
    <row r="53" spans="1:42" s="165" customFormat="1" ht="15.75" customHeight="1">
      <c r="A53" s="1467"/>
      <c r="B53" s="1471" t="s">
        <v>398</v>
      </c>
      <c r="C53" s="159" t="s">
        <v>312</v>
      </c>
      <c r="D53" s="158"/>
      <c r="E53" s="159"/>
      <c r="F53" s="159"/>
      <c r="G53" s="160">
        <f>G54</f>
        <v>0</v>
      </c>
      <c r="H53" s="161"/>
      <c r="I53" s="161"/>
      <c r="J53" s="161"/>
      <c r="K53" s="161"/>
      <c r="L53" s="161"/>
      <c r="M53" s="161"/>
      <c r="N53" s="161"/>
      <c r="O53" s="161"/>
      <c r="P53" s="161"/>
      <c r="Q53" s="161"/>
      <c r="R53" s="162"/>
      <c r="S53" s="158"/>
      <c r="T53" s="158"/>
      <c r="U53" s="158"/>
      <c r="V53" s="158"/>
      <c r="W53" s="158"/>
      <c r="X53" s="158"/>
      <c r="Y53" s="158"/>
      <c r="Z53" s="158"/>
      <c r="AA53" s="158"/>
      <c r="AB53" s="158"/>
      <c r="AC53" s="158"/>
      <c r="AD53" s="158"/>
      <c r="AE53" s="166"/>
      <c r="AF53" s="164"/>
      <c r="AG53" s="164"/>
      <c r="AH53" s="164"/>
      <c r="AI53" s="164"/>
      <c r="AJ53" s="164"/>
      <c r="AL53" s="164"/>
      <c r="AM53" s="164"/>
      <c r="AN53" s="164"/>
      <c r="AO53" s="164"/>
      <c r="AP53" s="164"/>
    </row>
    <row r="54" spans="1:42" ht="15.75" customHeight="1">
      <c r="A54" s="1467"/>
      <c r="B54" s="1472"/>
      <c r="C54" s="159" t="s">
        <v>399</v>
      </c>
      <c r="D54" s="167"/>
      <c r="E54" s="168"/>
      <c r="F54" s="168"/>
      <c r="G54" s="160">
        <f>R54</f>
        <v>0</v>
      </c>
      <c r="H54" s="169"/>
      <c r="I54" s="169" t="s">
        <v>406</v>
      </c>
      <c r="J54" s="170" t="s">
        <v>407</v>
      </c>
      <c r="K54" s="169"/>
      <c r="L54" s="170" t="s">
        <v>408</v>
      </c>
      <c r="M54" s="170" t="s">
        <v>407</v>
      </c>
      <c r="N54" s="171"/>
      <c r="O54" s="170" t="s">
        <v>409</v>
      </c>
      <c r="P54" s="170" t="s">
        <v>410</v>
      </c>
      <c r="Q54" s="172"/>
      <c r="R54" s="173">
        <f>H54*K54*N54</f>
        <v>0</v>
      </c>
      <c r="S54" s="174"/>
      <c r="T54" s="174"/>
      <c r="U54" s="174"/>
      <c r="V54" s="174"/>
      <c r="W54" s="174"/>
      <c r="X54" s="174"/>
      <c r="Y54" s="174"/>
      <c r="Z54" s="174"/>
      <c r="AA54" s="174"/>
      <c r="AB54" s="174"/>
      <c r="AC54" s="174"/>
      <c r="AD54" s="174"/>
      <c r="AE54" s="166"/>
    </row>
    <row r="55" spans="1:42" ht="15.75" customHeight="1">
      <c r="A55" s="1467"/>
      <c r="B55" s="1471" t="s">
        <v>401</v>
      </c>
      <c r="C55" s="159" t="s">
        <v>312</v>
      </c>
      <c r="D55" s="167"/>
      <c r="E55" s="168"/>
      <c r="F55" s="168"/>
      <c r="G55" s="160">
        <f>SUM(G56:G57)</f>
        <v>11340050</v>
      </c>
      <c r="H55" s="169"/>
      <c r="I55" s="169"/>
      <c r="J55" s="170"/>
      <c r="K55" s="169"/>
      <c r="L55" s="170"/>
      <c r="M55" s="170"/>
      <c r="N55" s="171"/>
      <c r="O55" s="170"/>
      <c r="P55" s="170"/>
      <c r="Q55" s="172"/>
      <c r="R55" s="173"/>
      <c r="S55" s="174"/>
      <c r="T55" s="174"/>
      <c r="U55" s="174"/>
      <c r="V55" s="174"/>
      <c r="W55" s="174"/>
      <c r="X55" s="174"/>
      <c r="Y55" s="174"/>
      <c r="Z55" s="174"/>
      <c r="AA55" s="174"/>
      <c r="AB55" s="174"/>
      <c r="AC55" s="174"/>
      <c r="AD55" s="174"/>
      <c r="AE55" s="166"/>
    </row>
    <row r="56" spans="1:42" ht="21.75" customHeight="1">
      <c r="A56" s="1467"/>
      <c r="B56" s="1478"/>
      <c r="C56" s="194" t="s">
        <v>401</v>
      </c>
      <c r="D56" s="167"/>
      <c r="E56" s="168"/>
      <c r="F56" s="168"/>
      <c r="G56" s="177">
        <f>R56</f>
        <v>11340050</v>
      </c>
      <c r="H56" s="169">
        <f>H47</f>
        <v>236251</v>
      </c>
      <c r="I56" s="169" t="s">
        <v>406</v>
      </c>
      <c r="J56" s="170" t="s">
        <v>407</v>
      </c>
      <c r="K56" s="169">
        <v>48</v>
      </c>
      <c r="L56" s="170" t="s">
        <v>408</v>
      </c>
      <c r="M56" s="170" t="s">
        <v>407</v>
      </c>
      <c r="N56" s="171">
        <v>1</v>
      </c>
      <c r="O56" s="170" t="s">
        <v>392</v>
      </c>
      <c r="P56" s="170" t="s">
        <v>410</v>
      </c>
      <c r="Q56" s="172"/>
      <c r="R56" s="173">
        <f>ROUND(H56*K56*N56,-1)</f>
        <v>11340050</v>
      </c>
      <c r="S56" s="174"/>
      <c r="T56" s="174"/>
      <c r="U56" s="174"/>
      <c r="V56" s="174"/>
      <c r="W56" s="174"/>
      <c r="X56" s="174"/>
      <c r="Y56" s="174"/>
      <c r="Z56" s="174"/>
      <c r="AA56" s="174"/>
      <c r="AB56" s="174"/>
      <c r="AC56" s="174"/>
      <c r="AD56" s="174"/>
      <c r="AE56" s="166"/>
    </row>
    <row r="57" spans="1:42" ht="15.75" customHeight="1" thickBot="1">
      <c r="A57" s="1467"/>
      <c r="B57" s="1472"/>
      <c r="C57" s="159" t="s">
        <v>403</v>
      </c>
      <c r="D57" s="167"/>
      <c r="E57" s="168"/>
      <c r="F57" s="168"/>
      <c r="G57" s="160"/>
      <c r="H57" s="169"/>
      <c r="I57" s="169"/>
      <c r="J57" s="170"/>
      <c r="K57" s="169"/>
      <c r="L57" s="170"/>
      <c r="M57" s="170"/>
      <c r="N57" s="171"/>
      <c r="O57" s="170"/>
      <c r="P57" s="170"/>
      <c r="Q57" s="172"/>
      <c r="R57" s="173"/>
      <c r="S57" s="174"/>
      <c r="T57" s="174"/>
      <c r="U57" s="174"/>
      <c r="V57" s="174"/>
      <c r="W57" s="174"/>
      <c r="X57" s="174"/>
      <c r="Y57" s="174"/>
      <c r="Z57" s="174"/>
      <c r="AA57" s="174"/>
      <c r="AB57" s="174"/>
      <c r="AC57" s="174"/>
      <c r="AD57" s="174"/>
      <c r="AE57" s="166"/>
    </row>
    <row r="58" spans="1:42" ht="15.75" hidden="1" customHeight="1">
      <c r="A58" s="1467"/>
      <c r="B58" s="1471" t="s">
        <v>342</v>
      </c>
      <c r="C58" s="159" t="s">
        <v>312</v>
      </c>
      <c r="D58" s="167"/>
      <c r="E58" s="168"/>
      <c r="F58" s="168"/>
      <c r="G58" s="160">
        <f>SUM(G59:G60)</f>
        <v>0</v>
      </c>
      <c r="H58" s="169"/>
      <c r="I58" s="169"/>
      <c r="J58" s="170"/>
      <c r="K58" s="169"/>
      <c r="L58" s="170"/>
      <c r="M58" s="170"/>
      <c r="N58" s="171"/>
      <c r="O58" s="170"/>
      <c r="P58" s="170"/>
      <c r="Q58" s="172"/>
      <c r="R58" s="173"/>
      <c r="S58" s="174"/>
      <c r="T58" s="174"/>
      <c r="U58" s="174"/>
      <c r="V58" s="174"/>
      <c r="W58" s="174"/>
      <c r="X58" s="174"/>
      <c r="Y58" s="174"/>
      <c r="Z58" s="174"/>
      <c r="AA58" s="174"/>
      <c r="AB58" s="174"/>
      <c r="AC58" s="174"/>
      <c r="AD58" s="174"/>
      <c r="AE58" s="166"/>
    </row>
    <row r="59" spans="1:42" ht="15.75" hidden="1" customHeight="1">
      <c r="A59" s="1467"/>
      <c r="B59" s="1478"/>
      <c r="C59" s="159" t="s">
        <v>342</v>
      </c>
      <c r="D59" s="167"/>
      <c r="E59" s="168"/>
      <c r="F59" s="168"/>
      <c r="G59" s="160">
        <f>R59</f>
        <v>0</v>
      </c>
      <c r="H59" s="169">
        <f>H50</f>
        <v>0</v>
      </c>
      <c r="I59" s="169" t="s">
        <v>406</v>
      </c>
      <c r="J59" s="170" t="s">
        <v>407</v>
      </c>
      <c r="K59" s="169">
        <v>51</v>
      </c>
      <c r="L59" s="170" t="s">
        <v>408</v>
      </c>
      <c r="M59" s="170" t="s">
        <v>407</v>
      </c>
      <c r="N59" s="171">
        <v>1</v>
      </c>
      <c r="O59" s="170" t="s">
        <v>411</v>
      </c>
      <c r="P59" s="170" t="s">
        <v>410</v>
      </c>
      <c r="Q59" s="172"/>
      <c r="R59" s="173">
        <f>ROUND(H59*K59*N59,-1)</f>
        <v>0</v>
      </c>
      <c r="S59" s="174"/>
      <c r="T59" s="174"/>
      <c r="U59" s="174"/>
      <c r="V59" s="174"/>
      <c r="W59" s="174"/>
      <c r="X59" s="174"/>
      <c r="Y59" s="174"/>
      <c r="Z59" s="174"/>
      <c r="AA59" s="174"/>
      <c r="AB59" s="174"/>
      <c r="AC59" s="174"/>
      <c r="AD59" s="174"/>
      <c r="AE59" s="166"/>
    </row>
    <row r="60" spans="1:42" ht="15.75" hidden="1" customHeight="1">
      <c r="A60" s="1477"/>
      <c r="B60" s="1472"/>
      <c r="C60" s="159" t="s">
        <v>412</v>
      </c>
      <c r="D60" s="167"/>
      <c r="E60" s="168"/>
      <c r="F60" s="168"/>
      <c r="G60" s="160">
        <f>R60</f>
        <v>0</v>
      </c>
      <c r="H60" s="169"/>
      <c r="I60" s="169" t="s">
        <v>406</v>
      </c>
      <c r="J60" s="170" t="s">
        <v>407</v>
      </c>
      <c r="K60" s="169"/>
      <c r="L60" s="170" t="s">
        <v>408</v>
      </c>
      <c r="M60" s="170" t="s">
        <v>407</v>
      </c>
      <c r="N60" s="171"/>
      <c r="O60" s="170" t="s">
        <v>413</v>
      </c>
      <c r="P60" s="170" t="s">
        <v>410</v>
      </c>
      <c r="Q60" s="172"/>
      <c r="R60" s="173">
        <f>H60*K60*N60</f>
        <v>0</v>
      </c>
      <c r="S60" s="195"/>
      <c r="T60" s="195"/>
      <c r="U60" s="195"/>
      <c r="V60" s="195"/>
      <c r="W60" s="195"/>
      <c r="X60" s="195"/>
      <c r="Y60" s="195"/>
      <c r="Z60" s="195"/>
      <c r="AA60" s="195"/>
      <c r="AB60" s="195"/>
      <c r="AC60" s="195"/>
      <c r="AD60" s="195"/>
      <c r="AE60" s="196"/>
    </row>
    <row r="61" spans="1:42" s="165" customFormat="1" ht="15.75" customHeight="1">
      <c r="A61" s="1477" t="s">
        <v>420</v>
      </c>
      <c r="B61" s="1472" t="s">
        <v>312</v>
      </c>
      <c r="C61" s="1472"/>
      <c r="D61" s="189"/>
      <c r="E61" s="190"/>
      <c r="F61" s="190"/>
      <c r="G61" s="191">
        <f>G62+G64+G67</f>
        <v>11340050</v>
      </c>
      <c r="H61" s="192"/>
      <c r="I61" s="192"/>
      <c r="J61" s="192"/>
      <c r="K61" s="192"/>
      <c r="L61" s="192"/>
      <c r="M61" s="192"/>
      <c r="N61" s="192"/>
      <c r="O61" s="192"/>
      <c r="P61" s="192"/>
      <c r="Q61" s="192"/>
      <c r="R61" s="193"/>
      <c r="S61" s="197"/>
      <c r="T61" s="197"/>
      <c r="U61" s="197"/>
      <c r="V61" s="197"/>
      <c r="W61" s="197"/>
      <c r="X61" s="197"/>
      <c r="Y61" s="197"/>
      <c r="Z61" s="197"/>
      <c r="AA61" s="197"/>
      <c r="AB61" s="197"/>
      <c r="AC61" s="197"/>
      <c r="AD61" s="197"/>
      <c r="AE61" s="163" t="s">
        <v>397</v>
      </c>
      <c r="AF61" s="164"/>
      <c r="AG61" s="164"/>
      <c r="AH61" s="164"/>
      <c r="AI61" s="164"/>
      <c r="AJ61" s="164"/>
      <c r="AL61" s="164"/>
      <c r="AM61" s="164"/>
      <c r="AN61" s="164"/>
      <c r="AO61" s="164"/>
      <c r="AP61" s="164"/>
    </row>
    <row r="62" spans="1:42" s="165" customFormat="1" ht="15.75" customHeight="1">
      <c r="A62" s="1484"/>
      <c r="B62" s="1483" t="s">
        <v>398</v>
      </c>
      <c r="C62" s="159" t="s">
        <v>312</v>
      </c>
      <c r="D62" s="158"/>
      <c r="E62" s="159"/>
      <c r="F62" s="159"/>
      <c r="G62" s="160">
        <f>G63</f>
        <v>0</v>
      </c>
      <c r="H62" s="161"/>
      <c r="I62" s="161"/>
      <c r="J62" s="161"/>
      <c r="K62" s="161"/>
      <c r="L62" s="161"/>
      <c r="M62" s="161"/>
      <c r="N62" s="161"/>
      <c r="O62" s="161"/>
      <c r="P62" s="161"/>
      <c r="Q62" s="161"/>
      <c r="R62" s="162"/>
      <c r="S62" s="158"/>
      <c r="T62" s="158"/>
      <c r="U62" s="158"/>
      <c r="V62" s="158"/>
      <c r="W62" s="158"/>
      <c r="X62" s="158"/>
      <c r="Y62" s="158"/>
      <c r="Z62" s="158"/>
      <c r="AA62" s="158"/>
      <c r="AB62" s="158"/>
      <c r="AC62" s="158"/>
      <c r="AD62" s="158"/>
      <c r="AE62" s="166"/>
      <c r="AF62" s="164"/>
      <c r="AG62" s="164"/>
      <c r="AH62" s="164"/>
      <c r="AI62" s="164"/>
      <c r="AJ62" s="164"/>
      <c r="AL62" s="164"/>
      <c r="AM62" s="164"/>
      <c r="AN62" s="164"/>
      <c r="AO62" s="164"/>
      <c r="AP62" s="164"/>
    </row>
    <row r="63" spans="1:42" ht="15.75" customHeight="1">
      <c r="A63" s="1484"/>
      <c r="B63" s="1483"/>
      <c r="C63" s="159" t="s">
        <v>399</v>
      </c>
      <c r="D63" s="167"/>
      <c r="E63" s="168"/>
      <c r="F63" s="168"/>
      <c r="G63" s="160">
        <f>R63</f>
        <v>0</v>
      </c>
      <c r="H63" s="169"/>
      <c r="I63" s="169" t="s">
        <v>406</v>
      </c>
      <c r="J63" s="170" t="s">
        <v>407</v>
      </c>
      <c r="K63" s="169"/>
      <c r="L63" s="170" t="s">
        <v>408</v>
      </c>
      <c r="M63" s="170" t="s">
        <v>407</v>
      </c>
      <c r="N63" s="171">
        <v>1</v>
      </c>
      <c r="O63" s="170" t="s">
        <v>413</v>
      </c>
      <c r="P63" s="170" t="s">
        <v>410</v>
      </c>
      <c r="Q63" s="172"/>
      <c r="R63" s="173">
        <f>H63*K63*N63</f>
        <v>0</v>
      </c>
      <c r="S63" s="174"/>
      <c r="T63" s="174"/>
      <c r="U63" s="174"/>
      <c r="V63" s="174"/>
      <c r="W63" s="174"/>
      <c r="X63" s="174"/>
      <c r="Y63" s="174"/>
      <c r="Z63" s="174"/>
      <c r="AA63" s="174"/>
      <c r="AB63" s="174"/>
      <c r="AC63" s="174"/>
      <c r="AD63" s="174"/>
      <c r="AE63" s="166"/>
    </row>
    <row r="64" spans="1:42" ht="15.75" customHeight="1">
      <c r="A64" s="1484"/>
      <c r="B64" s="1483" t="s">
        <v>401</v>
      </c>
      <c r="C64" s="159" t="s">
        <v>312</v>
      </c>
      <c r="D64" s="167"/>
      <c r="E64" s="168"/>
      <c r="F64" s="168"/>
      <c r="G64" s="160">
        <f>SUM(G65:G66)</f>
        <v>11340050</v>
      </c>
      <c r="H64" s="169"/>
      <c r="I64" s="169"/>
      <c r="J64" s="170"/>
      <c r="K64" s="169"/>
      <c r="L64" s="170"/>
      <c r="M64" s="170"/>
      <c r="N64" s="171"/>
      <c r="O64" s="170"/>
      <c r="P64" s="170"/>
      <c r="Q64" s="172"/>
      <c r="R64" s="173"/>
      <c r="S64" s="174"/>
      <c r="T64" s="174"/>
      <c r="U64" s="174"/>
      <c r="V64" s="174"/>
      <c r="W64" s="174"/>
      <c r="X64" s="174"/>
      <c r="Y64" s="174"/>
      <c r="Z64" s="174"/>
      <c r="AA64" s="174"/>
      <c r="AB64" s="174"/>
      <c r="AC64" s="174"/>
      <c r="AD64" s="174"/>
      <c r="AE64" s="166"/>
    </row>
    <row r="65" spans="1:42" ht="21" customHeight="1">
      <c r="A65" s="1484"/>
      <c r="B65" s="1483"/>
      <c r="C65" s="194" t="s">
        <v>418</v>
      </c>
      <c r="D65" s="167"/>
      <c r="E65" s="168"/>
      <c r="F65" s="168"/>
      <c r="G65" s="177">
        <f>R65</f>
        <v>11340050</v>
      </c>
      <c r="H65" s="169">
        <f>H56</f>
        <v>236251</v>
      </c>
      <c r="I65" s="169" t="s">
        <v>406</v>
      </c>
      <c r="J65" s="170" t="s">
        <v>407</v>
      </c>
      <c r="K65" s="169">
        <v>48</v>
      </c>
      <c r="L65" s="170" t="s">
        <v>408</v>
      </c>
      <c r="M65" s="170" t="s">
        <v>407</v>
      </c>
      <c r="N65" s="171">
        <v>1</v>
      </c>
      <c r="O65" s="170" t="s">
        <v>392</v>
      </c>
      <c r="P65" s="170" t="s">
        <v>410</v>
      </c>
      <c r="Q65" s="172"/>
      <c r="R65" s="173">
        <f>ROUND(H65*K65*N65,-1)</f>
        <v>11340050</v>
      </c>
      <c r="S65" s="174"/>
      <c r="T65" s="174"/>
      <c r="U65" s="174"/>
      <c r="V65" s="174"/>
      <c r="W65" s="174"/>
      <c r="X65" s="174"/>
      <c r="Y65" s="174"/>
      <c r="Z65" s="174"/>
      <c r="AA65" s="174"/>
      <c r="AB65" s="174"/>
      <c r="AC65" s="174"/>
      <c r="AD65" s="174"/>
      <c r="AE65" s="166"/>
    </row>
    <row r="66" spans="1:42" ht="15.75" customHeight="1">
      <c r="A66" s="1484"/>
      <c r="B66" s="1483"/>
      <c r="C66" s="159" t="s">
        <v>403</v>
      </c>
      <c r="D66" s="167"/>
      <c r="E66" s="168"/>
      <c r="F66" s="168"/>
      <c r="G66" s="160"/>
      <c r="H66" s="169"/>
      <c r="I66" s="169"/>
      <c r="J66" s="170"/>
      <c r="K66" s="169"/>
      <c r="L66" s="170"/>
      <c r="M66" s="170"/>
      <c r="N66" s="171"/>
      <c r="O66" s="170"/>
      <c r="P66" s="170"/>
      <c r="Q66" s="172"/>
      <c r="R66" s="173"/>
      <c r="S66" s="174"/>
      <c r="T66" s="174"/>
      <c r="U66" s="174"/>
      <c r="V66" s="174"/>
      <c r="W66" s="174"/>
      <c r="X66" s="174"/>
      <c r="Y66" s="174"/>
      <c r="Z66" s="174"/>
      <c r="AA66" s="174"/>
      <c r="AB66" s="174"/>
      <c r="AC66" s="174"/>
      <c r="AD66" s="174"/>
      <c r="AE66" s="166"/>
    </row>
    <row r="67" spans="1:42" ht="15.75" hidden="1" customHeight="1">
      <c r="A67" s="1484"/>
      <c r="B67" s="1483" t="s">
        <v>342</v>
      </c>
      <c r="C67" s="159" t="s">
        <v>312</v>
      </c>
      <c r="D67" s="167"/>
      <c r="E67" s="168">
        <v>0</v>
      </c>
      <c r="F67" s="168"/>
      <c r="G67" s="160">
        <f>SUM(G68:G69)</f>
        <v>0</v>
      </c>
      <c r="H67" s="169"/>
      <c r="I67" s="169"/>
      <c r="J67" s="170"/>
      <c r="K67" s="169"/>
      <c r="L67" s="170"/>
      <c r="M67" s="170"/>
      <c r="N67" s="171"/>
      <c r="O67" s="170"/>
      <c r="P67" s="170"/>
      <c r="Q67" s="172"/>
      <c r="R67" s="173"/>
      <c r="S67" s="174"/>
      <c r="T67" s="174"/>
      <c r="U67" s="174"/>
      <c r="V67" s="174"/>
      <c r="W67" s="174"/>
      <c r="X67" s="174"/>
      <c r="Y67" s="174"/>
      <c r="Z67" s="174"/>
      <c r="AA67" s="174"/>
      <c r="AB67" s="174"/>
      <c r="AC67" s="174"/>
      <c r="AD67" s="174"/>
      <c r="AE67" s="166"/>
    </row>
    <row r="68" spans="1:42" ht="15.75" hidden="1" customHeight="1">
      <c r="A68" s="1484"/>
      <c r="B68" s="1483"/>
      <c r="C68" s="159" t="s">
        <v>342</v>
      </c>
      <c r="D68" s="167"/>
      <c r="E68" s="168"/>
      <c r="F68" s="168"/>
      <c r="G68" s="160">
        <f>R68</f>
        <v>0</v>
      </c>
      <c r="H68" s="169">
        <f>H59</f>
        <v>0</v>
      </c>
      <c r="I68" s="169" t="s">
        <v>406</v>
      </c>
      <c r="J68" s="170" t="s">
        <v>407</v>
      </c>
      <c r="K68" s="169">
        <v>51</v>
      </c>
      <c r="L68" s="170" t="s">
        <v>408</v>
      </c>
      <c r="M68" s="170" t="s">
        <v>407</v>
      </c>
      <c r="N68" s="171">
        <v>1</v>
      </c>
      <c r="O68" s="170" t="s">
        <v>411</v>
      </c>
      <c r="P68" s="170" t="s">
        <v>410</v>
      </c>
      <c r="Q68" s="172"/>
      <c r="R68" s="173">
        <f>ROUND(H68*K68*N68,-1)</f>
        <v>0</v>
      </c>
      <c r="S68" s="174"/>
      <c r="T68" s="174"/>
      <c r="U68" s="174"/>
      <c r="V68" s="174"/>
      <c r="W68" s="174"/>
      <c r="X68" s="174"/>
      <c r="Y68" s="174"/>
      <c r="Z68" s="174"/>
      <c r="AA68" s="174"/>
      <c r="AB68" s="174"/>
      <c r="AC68" s="174"/>
      <c r="AD68" s="174"/>
      <c r="AE68" s="166"/>
    </row>
    <row r="69" spans="1:42" ht="15.75" hidden="1" customHeight="1">
      <c r="A69" s="1484"/>
      <c r="B69" s="1483"/>
      <c r="C69" s="159" t="s">
        <v>412</v>
      </c>
      <c r="D69" s="167"/>
      <c r="E69" s="168"/>
      <c r="F69" s="168"/>
      <c r="G69" s="160">
        <f>R69</f>
        <v>0</v>
      </c>
      <c r="H69" s="169"/>
      <c r="I69" s="169" t="s">
        <v>406</v>
      </c>
      <c r="J69" s="170" t="s">
        <v>407</v>
      </c>
      <c r="K69" s="169"/>
      <c r="L69" s="170" t="s">
        <v>408</v>
      </c>
      <c r="M69" s="170" t="s">
        <v>407</v>
      </c>
      <c r="N69" s="171"/>
      <c r="O69" s="170" t="s">
        <v>413</v>
      </c>
      <c r="P69" s="170" t="s">
        <v>410</v>
      </c>
      <c r="Q69" s="172"/>
      <c r="R69" s="173">
        <f>H69*K69*N69</f>
        <v>0</v>
      </c>
      <c r="S69" s="174"/>
      <c r="T69" s="174"/>
      <c r="U69" s="174"/>
      <c r="V69" s="174"/>
      <c r="W69" s="174"/>
      <c r="X69" s="174"/>
      <c r="Y69" s="174"/>
      <c r="Z69" s="174"/>
      <c r="AA69" s="174"/>
      <c r="AB69" s="174"/>
      <c r="AC69" s="174"/>
      <c r="AD69" s="174"/>
      <c r="AE69" s="166"/>
    </row>
    <row r="70" spans="1:42" s="165" customFormat="1" ht="15.75" customHeight="1">
      <c r="A70" s="1485" t="s">
        <v>421</v>
      </c>
      <c r="B70" s="1483" t="s">
        <v>312</v>
      </c>
      <c r="C70" s="1483"/>
      <c r="D70" s="158"/>
      <c r="E70" s="159"/>
      <c r="F70" s="159"/>
      <c r="G70" s="160">
        <f>G71+G73+G76</f>
        <v>11340050</v>
      </c>
      <c r="H70" s="161"/>
      <c r="I70" s="161"/>
      <c r="J70" s="161"/>
      <c r="K70" s="161"/>
      <c r="L70" s="161"/>
      <c r="M70" s="161"/>
      <c r="N70" s="161"/>
      <c r="O70" s="161"/>
      <c r="P70" s="161"/>
      <c r="Q70" s="161"/>
      <c r="R70" s="162"/>
      <c r="S70" s="158"/>
      <c r="T70" s="158"/>
      <c r="U70" s="158"/>
      <c r="V70" s="158"/>
      <c r="W70" s="158"/>
      <c r="X70" s="158"/>
      <c r="Y70" s="158"/>
      <c r="Z70" s="158"/>
      <c r="AA70" s="158"/>
      <c r="AB70" s="158"/>
      <c r="AC70" s="158"/>
      <c r="AD70" s="158"/>
      <c r="AE70" s="163" t="s">
        <v>397</v>
      </c>
      <c r="AF70" s="164"/>
      <c r="AG70" s="164"/>
      <c r="AH70" s="164"/>
      <c r="AI70" s="164"/>
      <c r="AJ70" s="164"/>
      <c r="AL70" s="164"/>
      <c r="AM70" s="164"/>
      <c r="AN70" s="164"/>
      <c r="AO70" s="164"/>
      <c r="AP70" s="164"/>
    </row>
    <row r="71" spans="1:42" s="165" customFormat="1" ht="15.75" customHeight="1">
      <c r="A71" s="1484"/>
      <c r="B71" s="1483" t="s">
        <v>398</v>
      </c>
      <c r="C71" s="159" t="s">
        <v>312</v>
      </c>
      <c r="D71" s="158"/>
      <c r="E71" s="159"/>
      <c r="F71" s="159"/>
      <c r="G71" s="160">
        <f>G72</f>
        <v>0</v>
      </c>
      <c r="H71" s="161"/>
      <c r="I71" s="161"/>
      <c r="J71" s="161"/>
      <c r="K71" s="161"/>
      <c r="L71" s="161"/>
      <c r="M71" s="161"/>
      <c r="N71" s="161"/>
      <c r="O71" s="161"/>
      <c r="P71" s="161"/>
      <c r="Q71" s="161"/>
      <c r="R71" s="162"/>
      <c r="S71" s="158"/>
      <c r="T71" s="158"/>
      <c r="U71" s="158"/>
      <c r="V71" s="158"/>
      <c r="W71" s="158"/>
      <c r="X71" s="158"/>
      <c r="Y71" s="158"/>
      <c r="Z71" s="158"/>
      <c r="AA71" s="158"/>
      <c r="AB71" s="158"/>
      <c r="AC71" s="158"/>
      <c r="AD71" s="158"/>
      <c r="AE71" s="166"/>
      <c r="AF71" s="164"/>
      <c r="AG71" s="164"/>
      <c r="AH71" s="164"/>
      <c r="AI71" s="164"/>
      <c r="AJ71" s="164"/>
      <c r="AL71" s="164"/>
      <c r="AM71" s="164"/>
      <c r="AN71" s="164"/>
      <c r="AO71" s="164"/>
      <c r="AP71" s="164"/>
    </row>
    <row r="72" spans="1:42" ht="15.75" customHeight="1">
      <c r="A72" s="1484"/>
      <c r="B72" s="1483"/>
      <c r="C72" s="159" t="s">
        <v>399</v>
      </c>
      <c r="D72" s="167"/>
      <c r="E72" s="168"/>
      <c r="F72" s="168"/>
      <c r="G72" s="160">
        <f>R72</f>
        <v>0</v>
      </c>
      <c r="H72" s="169"/>
      <c r="I72" s="169" t="s">
        <v>406</v>
      </c>
      <c r="J72" s="170" t="s">
        <v>407</v>
      </c>
      <c r="K72" s="169"/>
      <c r="L72" s="170" t="s">
        <v>408</v>
      </c>
      <c r="M72" s="170" t="s">
        <v>407</v>
      </c>
      <c r="N72" s="171"/>
      <c r="O72" s="170" t="s">
        <v>409</v>
      </c>
      <c r="P72" s="170" t="s">
        <v>410</v>
      </c>
      <c r="Q72" s="172"/>
      <c r="R72" s="173">
        <f>H72*K72*N72</f>
        <v>0</v>
      </c>
      <c r="S72" s="174"/>
      <c r="T72" s="174"/>
      <c r="U72" s="174"/>
      <c r="V72" s="174"/>
      <c r="W72" s="174"/>
      <c r="X72" s="174"/>
      <c r="Y72" s="174"/>
      <c r="Z72" s="174"/>
      <c r="AA72" s="174"/>
      <c r="AB72" s="174"/>
      <c r="AC72" s="174"/>
      <c r="AD72" s="174"/>
      <c r="AE72" s="166"/>
    </row>
    <row r="73" spans="1:42" ht="15.75" hidden="1" customHeight="1">
      <c r="A73" s="1484"/>
      <c r="B73" s="1483" t="s">
        <v>401</v>
      </c>
      <c r="C73" s="159" t="s">
        <v>312</v>
      </c>
      <c r="D73" s="167"/>
      <c r="E73" s="168"/>
      <c r="F73" s="168"/>
      <c r="G73" s="160">
        <f>SUM(G74:G75)</f>
        <v>11340050</v>
      </c>
      <c r="H73" s="169"/>
      <c r="I73" s="169"/>
      <c r="J73" s="170"/>
      <c r="K73" s="169"/>
      <c r="L73" s="170"/>
      <c r="M73" s="170"/>
      <c r="N73" s="171"/>
      <c r="O73" s="170"/>
      <c r="P73" s="170"/>
      <c r="Q73" s="172"/>
      <c r="R73" s="173"/>
      <c r="S73" s="174"/>
      <c r="T73" s="174"/>
      <c r="U73" s="174"/>
      <c r="V73" s="174"/>
      <c r="W73" s="174"/>
      <c r="X73" s="174"/>
      <c r="Y73" s="174"/>
      <c r="Z73" s="174"/>
      <c r="AA73" s="174"/>
      <c r="AB73" s="174"/>
      <c r="AC73" s="174"/>
      <c r="AD73" s="174"/>
      <c r="AE73" s="166"/>
    </row>
    <row r="74" spans="1:42" ht="21" customHeight="1">
      <c r="A74" s="1484"/>
      <c r="B74" s="1483"/>
      <c r="C74" s="194" t="s">
        <v>401</v>
      </c>
      <c r="D74" s="167"/>
      <c r="E74" s="168"/>
      <c r="F74" s="168"/>
      <c r="G74" s="177">
        <f>R74</f>
        <v>11340050</v>
      </c>
      <c r="H74" s="169">
        <f>H65</f>
        <v>236251</v>
      </c>
      <c r="I74" s="169" t="s">
        <v>406</v>
      </c>
      <c r="J74" s="170" t="s">
        <v>407</v>
      </c>
      <c r="K74" s="169">
        <v>48</v>
      </c>
      <c r="L74" s="170" t="s">
        <v>408</v>
      </c>
      <c r="M74" s="170" t="s">
        <v>407</v>
      </c>
      <c r="N74" s="171">
        <v>1</v>
      </c>
      <c r="O74" s="170" t="s">
        <v>392</v>
      </c>
      <c r="P74" s="170" t="s">
        <v>410</v>
      </c>
      <c r="Q74" s="172"/>
      <c r="R74" s="173">
        <f>ROUND(H74*K74*N74,-1)</f>
        <v>11340050</v>
      </c>
      <c r="S74" s="174"/>
      <c r="T74" s="174"/>
      <c r="U74" s="174"/>
      <c r="V74" s="174"/>
      <c r="W74" s="174"/>
      <c r="X74" s="174"/>
      <c r="Y74" s="174"/>
      <c r="Z74" s="174"/>
      <c r="AA74" s="174"/>
      <c r="AB74" s="174"/>
      <c r="AC74" s="174"/>
      <c r="AD74" s="174"/>
      <c r="AE74" s="166"/>
    </row>
    <row r="75" spans="1:42" ht="15.75" customHeight="1">
      <c r="A75" s="1484"/>
      <c r="B75" s="1483"/>
      <c r="C75" s="159" t="s">
        <v>403</v>
      </c>
      <c r="D75" s="167"/>
      <c r="E75" s="168"/>
      <c r="F75" s="168"/>
      <c r="G75" s="160"/>
      <c r="H75" s="169"/>
      <c r="I75" s="169" t="s">
        <v>406</v>
      </c>
      <c r="J75" s="170" t="s">
        <v>407</v>
      </c>
      <c r="K75" s="169"/>
      <c r="L75" s="170" t="s">
        <v>408</v>
      </c>
      <c r="M75" s="170" t="s">
        <v>407</v>
      </c>
      <c r="N75" s="171">
        <v>1</v>
      </c>
      <c r="O75" s="170" t="s">
        <v>413</v>
      </c>
      <c r="P75" s="170" t="s">
        <v>410</v>
      </c>
      <c r="Q75" s="172"/>
      <c r="R75" s="173"/>
      <c r="S75" s="174"/>
      <c r="T75" s="174"/>
      <c r="U75" s="174"/>
      <c r="V75" s="174"/>
      <c r="W75" s="174"/>
      <c r="X75" s="174"/>
      <c r="Y75" s="174"/>
      <c r="Z75" s="174"/>
      <c r="AA75" s="174"/>
      <c r="AB75" s="174"/>
      <c r="AC75" s="174"/>
      <c r="AD75" s="174"/>
      <c r="AE75" s="166"/>
    </row>
    <row r="76" spans="1:42" ht="15.75" hidden="1" customHeight="1">
      <c r="A76" s="1484"/>
      <c r="B76" s="1483" t="s">
        <v>342</v>
      </c>
      <c r="C76" s="159" t="s">
        <v>312</v>
      </c>
      <c r="D76" s="167"/>
      <c r="E76" s="168"/>
      <c r="F76" s="168"/>
      <c r="G76" s="160">
        <f>SUM(G77:G78)</f>
        <v>0</v>
      </c>
      <c r="H76" s="169"/>
      <c r="I76" s="169"/>
      <c r="J76" s="170"/>
      <c r="K76" s="169"/>
      <c r="L76" s="170"/>
      <c r="M76" s="170"/>
      <c r="N76" s="171"/>
      <c r="O76" s="170"/>
      <c r="P76" s="170"/>
      <c r="Q76" s="172"/>
      <c r="R76" s="173"/>
      <c r="S76" s="174"/>
      <c r="T76" s="174"/>
      <c r="U76" s="174"/>
      <c r="V76" s="174"/>
      <c r="W76" s="174"/>
      <c r="X76" s="174"/>
      <c r="Y76" s="174"/>
      <c r="Z76" s="174"/>
      <c r="AA76" s="174"/>
      <c r="AB76" s="174"/>
      <c r="AC76" s="174"/>
      <c r="AD76" s="174"/>
      <c r="AE76" s="166"/>
    </row>
    <row r="77" spans="1:42" ht="15.75" hidden="1" customHeight="1">
      <c r="A77" s="1484"/>
      <c r="B77" s="1483"/>
      <c r="C77" s="159" t="s">
        <v>342</v>
      </c>
      <c r="D77" s="167"/>
      <c r="E77" s="168"/>
      <c r="F77" s="168"/>
      <c r="G77" s="160">
        <f>R77</f>
        <v>0</v>
      </c>
      <c r="H77" s="169">
        <f>H68</f>
        <v>0</v>
      </c>
      <c r="I77" s="169" t="s">
        <v>406</v>
      </c>
      <c r="J77" s="170" t="s">
        <v>407</v>
      </c>
      <c r="K77" s="169">
        <v>51</v>
      </c>
      <c r="L77" s="170" t="s">
        <v>408</v>
      </c>
      <c r="M77" s="170" t="s">
        <v>407</v>
      </c>
      <c r="N77" s="171">
        <v>1</v>
      </c>
      <c r="O77" s="170" t="s">
        <v>411</v>
      </c>
      <c r="P77" s="170" t="s">
        <v>410</v>
      </c>
      <c r="Q77" s="172"/>
      <c r="R77" s="173">
        <f>ROUND(H77*K77*N77,-1)</f>
        <v>0</v>
      </c>
      <c r="S77" s="174"/>
      <c r="T77" s="174"/>
      <c r="U77" s="174"/>
      <c r="V77" s="174"/>
      <c r="W77" s="174"/>
      <c r="X77" s="174"/>
      <c r="Y77" s="174"/>
      <c r="Z77" s="174"/>
      <c r="AA77" s="174"/>
      <c r="AB77" s="174"/>
      <c r="AC77" s="174"/>
      <c r="AD77" s="174"/>
      <c r="AE77" s="166"/>
    </row>
    <row r="78" spans="1:42" ht="15.75" hidden="1" customHeight="1">
      <c r="A78" s="1484"/>
      <c r="B78" s="1483"/>
      <c r="C78" s="159" t="s">
        <v>412</v>
      </c>
      <c r="D78" s="167"/>
      <c r="E78" s="168"/>
      <c r="F78" s="168"/>
      <c r="G78" s="160">
        <f>R78</f>
        <v>0</v>
      </c>
      <c r="H78" s="169"/>
      <c r="I78" s="169" t="s">
        <v>406</v>
      </c>
      <c r="J78" s="170" t="s">
        <v>407</v>
      </c>
      <c r="K78" s="169"/>
      <c r="L78" s="170" t="s">
        <v>408</v>
      </c>
      <c r="M78" s="170" t="s">
        <v>407</v>
      </c>
      <c r="N78" s="171">
        <v>1</v>
      </c>
      <c r="O78" s="170" t="s">
        <v>413</v>
      </c>
      <c r="P78" s="170" t="s">
        <v>410</v>
      </c>
      <c r="Q78" s="172"/>
      <c r="R78" s="173">
        <f>H78*K78*N78</f>
        <v>0</v>
      </c>
      <c r="S78" s="174"/>
      <c r="T78" s="174"/>
      <c r="U78" s="174"/>
      <c r="V78" s="174"/>
      <c r="W78" s="174"/>
      <c r="X78" s="174"/>
      <c r="Y78" s="174"/>
      <c r="Z78" s="174"/>
      <c r="AA78" s="174"/>
      <c r="AB78" s="174"/>
      <c r="AC78" s="174"/>
      <c r="AD78" s="174"/>
      <c r="AE78" s="166"/>
    </row>
    <row r="79" spans="1:42" s="165" customFormat="1" ht="15.75" customHeight="1">
      <c r="A79" s="1485" t="s">
        <v>422</v>
      </c>
      <c r="B79" s="1483" t="s">
        <v>312</v>
      </c>
      <c r="C79" s="1483"/>
      <c r="D79" s="158"/>
      <c r="E79" s="159"/>
      <c r="F79" s="159"/>
      <c r="G79" s="160">
        <f>G80+G82+G85</f>
        <v>11340050</v>
      </c>
      <c r="H79" s="161"/>
      <c r="I79" s="161"/>
      <c r="J79" s="161"/>
      <c r="K79" s="161"/>
      <c r="L79" s="161"/>
      <c r="M79" s="161"/>
      <c r="N79" s="161"/>
      <c r="O79" s="161"/>
      <c r="P79" s="161"/>
      <c r="Q79" s="161"/>
      <c r="R79" s="162"/>
      <c r="S79" s="158"/>
      <c r="T79" s="158"/>
      <c r="U79" s="158"/>
      <c r="V79" s="158"/>
      <c r="W79" s="158"/>
      <c r="X79" s="158"/>
      <c r="Y79" s="158"/>
      <c r="Z79" s="158"/>
      <c r="AA79" s="158"/>
      <c r="AB79" s="158"/>
      <c r="AC79" s="158"/>
      <c r="AD79" s="158"/>
      <c r="AE79" s="163" t="s">
        <v>397</v>
      </c>
      <c r="AF79" s="164"/>
      <c r="AG79" s="164"/>
      <c r="AH79" s="164"/>
      <c r="AI79" s="164"/>
      <c r="AJ79" s="164"/>
      <c r="AL79" s="164"/>
      <c r="AM79" s="164"/>
      <c r="AN79" s="164"/>
      <c r="AO79" s="164"/>
      <c r="AP79" s="164"/>
    </row>
    <row r="80" spans="1:42" s="165" customFormat="1" ht="15.75" customHeight="1">
      <c r="A80" s="1484"/>
      <c r="B80" s="1483" t="s">
        <v>398</v>
      </c>
      <c r="C80" s="159" t="s">
        <v>312</v>
      </c>
      <c r="D80" s="158"/>
      <c r="E80" s="159"/>
      <c r="F80" s="159"/>
      <c r="G80" s="160">
        <f>G81</f>
        <v>0</v>
      </c>
      <c r="H80" s="161"/>
      <c r="I80" s="161"/>
      <c r="J80" s="161"/>
      <c r="K80" s="161"/>
      <c r="L80" s="161"/>
      <c r="M80" s="161"/>
      <c r="N80" s="161"/>
      <c r="O80" s="161"/>
      <c r="P80" s="161"/>
      <c r="Q80" s="161"/>
      <c r="R80" s="162"/>
      <c r="S80" s="158"/>
      <c r="T80" s="158"/>
      <c r="U80" s="158"/>
      <c r="V80" s="158"/>
      <c r="W80" s="158"/>
      <c r="X80" s="158"/>
      <c r="Y80" s="158"/>
      <c r="Z80" s="158"/>
      <c r="AA80" s="158"/>
      <c r="AB80" s="158"/>
      <c r="AC80" s="158"/>
      <c r="AD80" s="158"/>
      <c r="AE80" s="166"/>
      <c r="AF80" s="164"/>
      <c r="AG80" s="164"/>
      <c r="AH80" s="164"/>
      <c r="AI80" s="164"/>
      <c r="AJ80" s="164"/>
      <c r="AL80" s="164"/>
      <c r="AM80" s="164"/>
      <c r="AN80" s="164"/>
      <c r="AO80" s="164"/>
      <c r="AP80" s="164"/>
    </row>
    <row r="81" spans="1:42" ht="15.75" customHeight="1">
      <c r="A81" s="1484"/>
      <c r="B81" s="1483"/>
      <c r="C81" s="159" t="s">
        <v>399</v>
      </c>
      <c r="D81" s="167"/>
      <c r="E81" s="168"/>
      <c r="F81" s="168"/>
      <c r="G81" s="160">
        <f>R81</f>
        <v>0</v>
      </c>
      <c r="H81" s="169"/>
      <c r="I81" s="169" t="s">
        <v>406</v>
      </c>
      <c r="J81" s="170" t="s">
        <v>407</v>
      </c>
      <c r="K81" s="169"/>
      <c r="L81" s="170" t="s">
        <v>408</v>
      </c>
      <c r="M81" s="170" t="s">
        <v>407</v>
      </c>
      <c r="N81" s="171"/>
      <c r="O81" s="170" t="s">
        <v>409</v>
      </c>
      <c r="P81" s="170" t="s">
        <v>410</v>
      </c>
      <c r="Q81" s="172"/>
      <c r="R81" s="173">
        <f>H81*K81*N81</f>
        <v>0</v>
      </c>
      <c r="S81" s="174"/>
      <c r="T81" s="174"/>
      <c r="U81" s="174"/>
      <c r="V81" s="174"/>
      <c r="W81" s="174"/>
      <c r="X81" s="174"/>
      <c r="Y81" s="174"/>
      <c r="Z81" s="174"/>
      <c r="AA81" s="174"/>
      <c r="AB81" s="174"/>
      <c r="AC81" s="174"/>
      <c r="AD81" s="174"/>
      <c r="AE81" s="166"/>
    </row>
    <row r="82" spans="1:42" ht="15.75" customHeight="1">
      <c r="A82" s="1484"/>
      <c r="B82" s="1483" t="s">
        <v>401</v>
      </c>
      <c r="C82" s="159" t="s">
        <v>312</v>
      </c>
      <c r="D82" s="167"/>
      <c r="E82" s="168"/>
      <c r="F82" s="168"/>
      <c r="G82" s="160">
        <f>SUM(G83:G84)</f>
        <v>11340050</v>
      </c>
      <c r="H82" s="169"/>
      <c r="I82" s="169"/>
      <c r="J82" s="170"/>
      <c r="K82" s="169"/>
      <c r="L82" s="170"/>
      <c r="M82" s="170"/>
      <c r="N82" s="171"/>
      <c r="O82" s="170"/>
      <c r="P82" s="170"/>
      <c r="Q82" s="172"/>
      <c r="R82" s="173"/>
      <c r="S82" s="174"/>
      <c r="T82" s="174"/>
      <c r="U82" s="174"/>
      <c r="V82" s="174"/>
      <c r="W82" s="174"/>
      <c r="X82" s="174"/>
      <c r="Y82" s="174"/>
      <c r="Z82" s="174"/>
      <c r="AA82" s="174"/>
      <c r="AB82" s="174"/>
      <c r="AC82" s="174"/>
      <c r="AD82" s="174"/>
      <c r="AE82" s="166"/>
    </row>
    <row r="83" spans="1:42" ht="21" customHeight="1">
      <c r="A83" s="1484"/>
      <c r="B83" s="1483"/>
      <c r="C83" s="194" t="s">
        <v>401</v>
      </c>
      <c r="D83" s="167"/>
      <c r="E83" s="168"/>
      <c r="F83" s="168"/>
      <c r="G83" s="177">
        <f>R83</f>
        <v>11340050</v>
      </c>
      <c r="H83" s="169">
        <f>H74</f>
        <v>236251</v>
      </c>
      <c r="I83" s="169" t="s">
        <v>406</v>
      </c>
      <c r="J83" s="170" t="s">
        <v>407</v>
      </c>
      <c r="K83" s="169">
        <v>48</v>
      </c>
      <c r="L83" s="170" t="s">
        <v>408</v>
      </c>
      <c r="M83" s="170" t="s">
        <v>407</v>
      </c>
      <c r="N83" s="171">
        <v>1</v>
      </c>
      <c r="O83" s="170" t="s">
        <v>392</v>
      </c>
      <c r="P83" s="170" t="s">
        <v>410</v>
      </c>
      <c r="Q83" s="172"/>
      <c r="R83" s="173">
        <f>ROUND(H83*K83*N83,-1)</f>
        <v>11340050</v>
      </c>
      <c r="S83" s="174"/>
      <c r="T83" s="174"/>
      <c r="U83" s="174"/>
      <c r="V83" s="174"/>
      <c r="W83" s="174"/>
      <c r="X83" s="174"/>
      <c r="Y83" s="174"/>
      <c r="Z83" s="174"/>
      <c r="AA83" s="174"/>
      <c r="AB83" s="174"/>
      <c r="AC83" s="174"/>
      <c r="AD83" s="174"/>
      <c r="AE83" s="166"/>
    </row>
    <row r="84" spans="1:42" ht="15.75" customHeight="1">
      <c r="A84" s="1484"/>
      <c r="B84" s="1483"/>
      <c r="C84" s="159" t="s">
        <v>403</v>
      </c>
      <c r="D84" s="167"/>
      <c r="E84" s="168"/>
      <c r="F84" s="168"/>
      <c r="G84" s="160"/>
      <c r="H84" s="169"/>
      <c r="I84" s="169" t="s">
        <v>406</v>
      </c>
      <c r="J84" s="170" t="s">
        <v>407</v>
      </c>
      <c r="K84" s="169"/>
      <c r="L84" s="170" t="s">
        <v>408</v>
      </c>
      <c r="M84" s="170" t="s">
        <v>407</v>
      </c>
      <c r="N84" s="171"/>
      <c r="O84" s="170" t="s">
        <v>413</v>
      </c>
      <c r="P84" s="170" t="s">
        <v>410</v>
      </c>
      <c r="Q84" s="172"/>
      <c r="R84" s="173"/>
      <c r="S84" s="174"/>
      <c r="T84" s="174"/>
      <c r="U84" s="174"/>
      <c r="V84" s="174"/>
      <c r="W84" s="174"/>
      <c r="X84" s="174"/>
      <c r="Y84" s="174"/>
      <c r="Z84" s="174"/>
      <c r="AA84" s="174"/>
      <c r="AB84" s="174"/>
      <c r="AC84" s="174"/>
      <c r="AD84" s="174"/>
      <c r="AE84" s="166"/>
    </row>
    <row r="85" spans="1:42" ht="15.75" hidden="1" customHeight="1">
      <c r="A85" s="1484"/>
      <c r="B85" s="1483" t="s">
        <v>342</v>
      </c>
      <c r="C85" s="159" t="s">
        <v>312</v>
      </c>
      <c r="D85" s="167"/>
      <c r="E85" s="168"/>
      <c r="F85" s="168"/>
      <c r="G85" s="160">
        <f>SUM(G86:G87)</f>
        <v>0</v>
      </c>
      <c r="H85" s="169"/>
      <c r="I85" s="169"/>
      <c r="J85" s="170"/>
      <c r="K85" s="169"/>
      <c r="L85" s="170"/>
      <c r="M85" s="170"/>
      <c r="N85" s="171"/>
      <c r="O85" s="170"/>
      <c r="P85" s="170"/>
      <c r="Q85" s="172"/>
      <c r="R85" s="173"/>
      <c r="S85" s="174"/>
      <c r="T85" s="174"/>
      <c r="U85" s="174"/>
      <c r="V85" s="174"/>
      <c r="W85" s="174"/>
      <c r="X85" s="174"/>
      <c r="Y85" s="174"/>
      <c r="Z85" s="174"/>
      <c r="AA85" s="174"/>
      <c r="AB85" s="174"/>
      <c r="AC85" s="174"/>
      <c r="AD85" s="174"/>
      <c r="AE85" s="166"/>
    </row>
    <row r="86" spans="1:42" ht="15.75" hidden="1" customHeight="1">
      <c r="A86" s="1484"/>
      <c r="B86" s="1483"/>
      <c r="C86" s="159" t="s">
        <v>342</v>
      </c>
      <c r="D86" s="167"/>
      <c r="E86" s="168"/>
      <c r="F86" s="168"/>
      <c r="G86" s="160">
        <f>R86</f>
        <v>0</v>
      </c>
      <c r="H86" s="169">
        <f>H77</f>
        <v>0</v>
      </c>
      <c r="I86" s="169" t="s">
        <v>406</v>
      </c>
      <c r="J86" s="170" t="s">
        <v>407</v>
      </c>
      <c r="K86" s="169">
        <v>51</v>
      </c>
      <c r="L86" s="170" t="s">
        <v>408</v>
      </c>
      <c r="M86" s="170" t="s">
        <v>407</v>
      </c>
      <c r="N86" s="171">
        <v>1</v>
      </c>
      <c r="O86" s="170" t="s">
        <v>411</v>
      </c>
      <c r="P86" s="170" t="s">
        <v>410</v>
      </c>
      <c r="Q86" s="172"/>
      <c r="R86" s="173">
        <f>ROUND(H86*K86*N86,-1)</f>
        <v>0</v>
      </c>
      <c r="S86" s="174"/>
      <c r="T86" s="174"/>
      <c r="U86" s="174"/>
      <c r="V86" s="174"/>
      <c r="W86" s="174"/>
      <c r="X86" s="174"/>
      <c r="Y86" s="174"/>
      <c r="Z86" s="174"/>
      <c r="AA86" s="174"/>
      <c r="AB86" s="174"/>
      <c r="AC86" s="174"/>
      <c r="AD86" s="174"/>
      <c r="AE86" s="166"/>
    </row>
    <row r="87" spans="1:42" ht="15.75" hidden="1" customHeight="1">
      <c r="A87" s="1484"/>
      <c r="B87" s="1483"/>
      <c r="C87" s="159" t="s">
        <v>412</v>
      </c>
      <c r="D87" s="167"/>
      <c r="E87" s="168"/>
      <c r="F87" s="168"/>
      <c r="G87" s="160">
        <f>R87</f>
        <v>0</v>
      </c>
      <c r="H87" s="169"/>
      <c r="I87" s="169" t="s">
        <v>406</v>
      </c>
      <c r="J87" s="170" t="s">
        <v>407</v>
      </c>
      <c r="K87" s="169"/>
      <c r="L87" s="170" t="s">
        <v>408</v>
      </c>
      <c r="M87" s="170" t="s">
        <v>407</v>
      </c>
      <c r="N87" s="171"/>
      <c r="O87" s="170" t="s">
        <v>413</v>
      </c>
      <c r="P87" s="170" t="s">
        <v>410</v>
      </c>
      <c r="Q87" s="172"/>
      <c r="R87" s="173">
        <f>H87*K87*N87</f>
        <v>0</v>
      </c>
      <c r="S87" s="174"/>
      <c r="T87" s="174"/>
      <c r="U87" s="174"/>
      <c r="V87" s="174"/>
      <c r="W87" s="174"/>
      <c r="X87" s="174"/>
      <c r="Y87" s="174"/>
      <c r="Z87" s="174"/>
      <c r="AA87" s="174"/>
      <c r="AB87" s="174"/>
      <c r="AC87" s="174"/>
      <c r="AD87" s="174"/>
      <c r="AE87" s="166"/>
    </row>
    <row r="88" spans="1:42" s="165" customFormat="1" ht="15.75" customHeight="1">
      <c r="A88" s="1485" t="s">
        <v>423</v>
      </c>
      <c r="B88" s="1483" t="s">
        <v>312</v>
      </c>
      <c r="C88" s="1483"/>
      <c r="D88" s="158"/>
      <c r="E88" s="159"/>
      <c r="F88" s="159"/>
      <c r="G88" s="160">
        <f>G89+G91+G94</f>
        <v>13130450</v>
      </c>
      <c r="H88" s="161"/>
      <c r="I88" s="161"/>
      <c r="J88" s="161"/>
      <c r="K88" s="161"/>
      <c r="L88" s="161"/>
      <c r="M88" s="161"/>
      <c r="N88" s="161"/>
      <c r="O88" s="161"/>
      <c r="P88" s="161"/>
      <c r="Q88" s="161"/>
      <c r="R88" s="162"/>
      <c r="S88" s="158"/>
      <c r="T88" s="158"/>
      <c r="U88" s="158"/>
      <c r="V88" s="158"/>
      <c r="W88" s="158"/>
      <c r="X88" s="158"/>
      <c r="Y88" s="158"/>
      <c r="Z88" s="158"/>
      <c r="AA88" s="158"/>
      <c r="AB88" s="158"/>
      <c r="AC88" s="158"/>
      <c r="AD88" s="158"/>
      <c r="AE88" s="163" t="s">
        <v>397</v>
      </c>
      <c r="AF88" s="164"/>
      <c r="AG88" s="164"/>
      <c r="AH88" s="164"/>
      <c r="AI88" s="164"/>
      <c r="AJ88" s="164"/>
      <c r="AL88" s="164"/>
      <c r="AM88" s="164"/>
      <c r="AN88" s="164"/>
      <c r="AO88" s="164"/>
      <c r="AP88" s="164"/>
    </row>
    <row r="89" spans="1:42" s="165" customFormat="1" ht="15.75" customHeight="1">
      <c r="A89" s="1484"/>
      <c r="B89" s="1483" t="s">
        <v>398</v>
      </c>
      <c r="C89" s="159" t="s">
        <v>312</v>
      </c>
      <c r="D89" s="158"/>
      <c r="E89" s="159"/>
      <c r="F89" s="159"/>
      <c r="G89" s="160">
        <f>G90</f>
        <v>1790400</v>
      </c>
      <c r="H89" s="161"/>
      <c r="I89" s="161"/>
      <c r="J89" s="161"/>
      <c r="K89" s="161"/>
      <c r="L89" s="161"/>
      <c r="M89" s="161"/>
      <c r="N89" s="161"/>
      <c r="O89" s="161"/>
      <c r="P89" s="161"/>
      <c r="Q89" s="161"/>
      <c r="R89" s="162"/>
      <c r="S89" s="158"/>
      <c r="T89" s="158"/>
      <c r="U89" s="158"/>
      <c r="V89" s="158"/>
      <c r="W89" s="158"/>
      <c r="X89" s="158"/>
      <c r="Y89" s="158"/>
      <c r="Z89" s="158"/>
      <c r="AA89" s="158"/>
      <c r="AB89" s="158"/>
      <c r="AC89" s="158"/>
      <c r="AD89" s="158"/>
      <c r="AE89" s="166"/>
      <c r="AF89" s="164"/>
      <c r="AG89" s="164"/>
      <c r="AH89" s="164"/>
      <c r="AI89" s="164"/>
      <c r="AJ89" s="164"/>
      <c r="AL89" s="164"/>
      <c r="AM89" s="164"/>
      <c r="AN89" s="164"/>
      <c r="AO89" s="164"/>
      <c r="AP89" s="164"/>
    </row>
    <row r="90" spans="1:42" ht="15.75" customHeight="1">
      <c r="A90" s="1484"/>
      <c r="B90" s="1483"/>
      <c r="C90" s="159" t="s">
        <v>399</v>
      </c>
      <c r="D90" s="167"/>
      <c r="E90" s="168"/>
      <c r="F90" s="168"/>
      <c r="G90" s="160">
        <f>R90</f>
        <v>1790400</v>
      </c>
      <c r="H90" s="169">
        <v>37300</v>
      </c>
      <c r="I90" s="169" t="s">
        <v>406</v>
      </c>
      <c r="J90" s="170" t="s">
        <v>407</v>
      </c>
      <c r="K90" s="169">
        <v>48</v>
      </c>
      <c r="L90" s="170" t="s">
        <v>408</v>
      </c>
      <c r="M90" s="170" t="s">
        <v>407</v>
      </c>
      <c r="N90" s="171">
        <v>1</v>
      </c>
      <c r="O90" s="170" t="s">
        <v>409</v>
      </c>
      <c r="P90" s="170" t="s">
        <v>410</v>
      </c>
      <c r="Q90" s="172"/>
      <c r="R90" s="173">
        <f>H90*K90*N90</f>
        <v>1790400</v>
      </c>
      <c r="S90" s="174"/>
      <c r="T90" s="174"/>
      <c r="U90" s="174"/>
      <c r="V90" s="174"/>
      <c r="W90" s="174"/>
      <c r="X90" s="174"/>
      <c r="Y90" s="174"/>
      <c r="Z90" s="174"/>
      <c r="AA90" s="174"/>
      <c r="AB90" s="174"/>
      <c r="AC90" s="174"/>
      <c r="AD90" s="174"/>
      <c r="AE90" s="166" t="s">
        <v>424</v>
      </c>
    </row>
    <row r="91" spans="1:42" ht="15.75" customHeight="1">
      <c r="A91" s="1484"/>
      <c r="B91" s="1483" t="s">
        <v>401</v>
      </c>
      <c r="C91" s="159" t="s">
        <v>312</v>
      </c>
      <c r="D91" s="167"/>
      <c r="E91" s="168"/>
      <c r="F91" s="168"/>
      <c r="G91" s="160">
        <f>SUM(G92:G93)</f>
        <v>11340050</v>
      </c>
      <c r="H91" s="169"/>
      <c r="I91" s="169"/>
      <c r="J91" s="170"/>
      <c r="K91" s="169"/>
      <c r="L91" s="170"/>
      <c r="M91" s="170"/>
      <c r="N91" s="171"/>
      <c r="O91" s="170"/>
      <c r="P91" s="170"/>
      <c r="Q91" s="172"/>
      <c r="R91" s="173"/>
      <c r="S91" s="174"/>
      <c r="T91" s="174"/>
      <c r="U91" s="174"/>
      <c r="V91" s="174"/>
      <c r="W91" s="174"/>
      <c r="X91" s="174"/>
      <c r="Y91" s="174"/>
      <c r="Z91" s="174"/>
      <c r="AA91" s="174"/>
      <c r="AB91" s="174"/>
      <c r="AC91" s="174"/>
      <c r="AD91" s="174"/>
      <c r="AE91" s="166"/>
    </row>
    <row r="92" spans="1:42" ht="21" customHeight="1">
      <c r="A92" s="1484"/>
      <c r="B92" s="1483"/>
      <c r="C92" s="194" t="s">
        <v>401</v>
      </c>
      <c r="D92" s="167"/>
      <c r="E92" s="168"/>
      <c r="F92" s="168"/>
      <c r="G92" s="160">
        <f>R92</f>
        <v>11340050</v>
      </c>
      <c r="H92" s="169">
        <f>H83</f>
        <v>236251</v>
      </c>
      <c r="I92" s="169" t="s">
        <v>406</v>
      </c>
      <c r="J92" s="170" t="s">
        <v>407</v>
      </c>
      <c r="K92" s="169">
        <v>48</v>
      </c>
      <c r="L92" s="170" t="s">
        <v>408</v>
      </c>
      <c r="M92" s="170" t="s">
        <v>407</v>
      </c>
      <c r="N92" s="171">
        <v>1</v>
      </c>
      <c r="O92" s="170" t="s">
        <v>392</v>
      </c>
      <c r="P92" s="170" t="s">
        <v>410</v>
      </c>
      <c r="Q92" s="172"/>
      <c r="R92" s="173">
        <f>ROUND(H92*K92*N92,-1)</f>
        <v>11340050</v>
      </c>
      <c r="S92" s="174"/>
      <c r="T92" s="174"/>
      <c r="U92" s="174"/>
      <c r="V92" s="174"/>
      <c r="W92" s="174"/>
      <c r="X92" s="174"/>
      <c r="Y92" s="174"/>
      <c r="Z92" s="174"/>
      <c r="AA92" s="174"/>
      <c r="AB92" s="174"/>
      <c r="AC92" s="174"/>
      <c r="AD92" s="174"/>
      <c r="AE92" s="166"/>
    </row>
    <row r="93" spans="1:42" ht="15.75" customHeight="1">
      <c r="A93" s="1484"/>
      <c r="B93" s="1483"/>
      <c r="C93" s="159" t="s">
        <v>403</v>
      </c>
      <c r="D93" s="167"/>
      <c r="E93" s="168"/>
      <c r="F93" s="168"/>
      <c r="G93" s="160">
        <f>R93</f>
        <v>0</v>
      </c>
      <c r="H93" s="169"/>
      <c r="I93" s="169" t="s">
        <v>406</v>
      </c>
      <c r="J93" s="170" t="s">
        <v>407</v>
      </c>
      <c r="K93" s="169"/>
      <c r="L93" s="170" t="s">
        <v>408</v>
      </c>
      <c r="M93" s="170" t="s">
        <v>407</v>
      </c>
      <c r="N93" s="171">
        <v>1</v>
      </c>
      <c r="O93" s="170" t="s">
        <v>413</v>
      </c>
      <c r="P93" s="170" t="s">
        <v>410</v>
      </c>
      <c r="Q93" s="172"/>
      <c r="R93" s="173">
        <f>ROUND(H93*K93*N93,-1)</f>
        <v>0</v>
      </c>
      <c r="S93" s="174"/>
      <c r="T93" s="174"/>
      <c r="U93" s="174"/>
      <c r="V93" s="174"/>
      <c r="W93" s="174"/>
      <c r="X93" s="174"/>
      <c r="Y93" s="174"/>
      <c r="Z93" s="174"/>
      <c r="AA93" s="174"/>
      <c r="AB93" s="174"/>
      <c r="AC93" s="174"/>
      <c r="AD93" s="174"/>
      <c r="AE93" s="166"/>
    </row>
    <row r="94" spans="1:42" ht="15.75" hidden="1" customHeight="1">
      <c r="A94" s="1484"/>
      <c r="B94" s="1483" t="s">
        <v>342</v>
      </c>
      <c r="C94" s="159" t="s">
        <v>312</v>
      </c>
      <c r="D94" s="167"/>
      <c r="E94" s="168"/>
      <c r="F94" s="168"/>
      <c r="G94" s="160">
        <f>SUM(G95:G96)</f>
        <v>0</v>
      </c>
      <c r="H94" s="169"/>
      <c r="I94" s="169"/>
      <c r="J94" s="170"/>
      <c r="K94" s="169"/>
      <c r="L94" s="170"/>
      <c r="M94" s="170"/>
      <c r="N94" s="171"/>
      <c r="O94" s="170"/>
      <c r="P94" s="170"/>
      <c r="Q94" s="172"/>
      <c r="R94" s="173"/>
      <c r="S94" s="174"/>
      <c r="T94" s="174"/>
      <c r="U94" s="174"/>
      <c r="V94" s="174"/>
      <c r="W94" s="174"/>
      <c r="X94" s="174"/>
      <c r="Y94" s="174"/>
      <c r="Z94" s="174"/>
      <c r="AA94" s="174"/>
      <c r="AB94" s="174"/>
      <c r="AC94" s="174"/>
      <c r="AD94" s="174"/>
      <c r="AE94" s="166"/>
    </row>
    <row r="95" spans="1:42" ht="15.75" hidden="1" customHeight="1">
      <c r="A95" s="1484"/>
      <c r="B95" s="1483"/>
      <c r="C95" s="159" t="s">
        <v>342</v>
      </c>
      <c r="D95" s="167"/>
      <c r="E95" s="168"/>
      <c r="F95" s="168"/>
      <c r="G95" s="160">
        <f>R95</f>
        <v>0</v>
      </c>
      <c r="H95" s="169">
        <f>H86</f>
        <v>0</v>
      </c>
      <c r="I95" s="169" t="s">
        <v>406</v>
      </c>
      <c r="J95" s="170" t="s">
        <v>407</v>
      </c>
      <c r="K95" s="169">
        <v>51</v>
      </c>
      <c r="L95" s="170" t="s">
        <v>408</v>
      </c>
      <c r="M95" s="170" t="s">
        <v>407</v>
      </c>
      <c r="N95" s="171">
        <v>1</v>
      </c>
      <c r="O95" s="170" t="s">
        <v>411</v>
      </c>
      <c r="P95" s="170" t="s">
        <v>410</v>
      </c>
      <c r="Q95" s="172"/>
      <c r="R95" s="173">
        <f>ROUND(H95*K95*N95,-1)</f>
        <v>0</v>
      </c>
      <c r="S95" s="174"/>
      <c r="T95" s="174"/>
      <c r="U95" s="174"/>
      <c r="V95" s="174"/>
      <c r="W95" s="174"/>
      <c r="X95" s="174"/>
      <c r="Y95" s="174"/>
      <c r="Z95" s="174"/>
      <c r="AA95" s="174"/>
      <c r="AB95" s="174"/>
      <c r="AC95" s="174"/>
      <c r="AD95" s="174"/>
      <c r="AE95" s="166"/>
    </row>
    <row r="96" spans="1:42" ht="15.75" hidden="1" customHeight="1">
      <c r="A96" s="1484"/>
      <c r="B96" s="1483"/>
      <c r="C96" s="159" t="s">
        <v>412</v>
      </c>
      <c r="D96" s="167"/>
      <c r="E96" s="168"/>
      <c r="F96" s="168"/>
      <c r="G96" s="160">
        <f>R96</f>
        <v>0</v>
      </c>
      <c r="H96" s="169"/>
      <c r="I96" s="169" t="s">
        <v>406</v>
      </c>
      <c r="J96" s="170" t="s">
        <v>407</v>
      </c>
      <c r="K96" s="169"/>
      <c r="L96" s="170" t="s">
        <v>408</v>
      </c>
      <c r="M96" s="170" t="s">
        <v>407</v>
      </c>
      <c r="N96" s="171">
        <v>1</v>
      </c>
      <c r="O96" s="170" t="s">
        <v>413</v>
      </c>
      <c r="P96" s="170" t="s">
        <v>410</v>
      </c>
      <c r="Q96" s="172"/>
      <c r="R96" s="173">
        <f>H96*K96*N96</f>
        <v>0</v>
      </c>
      <c r="S96" s="174"/>
      <c r="T96" s="174"/>
      <c r="U96" s="174"/>
      <c r="V96" s="174"/>
      <c r="W96" s="174"/>
      <c r="X96" s="174"/>
      <c r="Y96" s="174"/>
      <c r="Z96" s="174"/>
      <c r="AA96" s="174"/>
      <c r="AB96" s="174"/>
      <c r="AC96" s="174"/>
      <c r="AD96" s="174"/>
      <c r="AE96" s="166"/>
    </row>
    <row r="97" spans="1:42" s="165" customFormat="1" ht="15.75" customHeight="1">
      <c r="A97" s="1485" t="s">
        <v>425</v>
      </c>
      <c r="B97" s="1483" t="s">
        <v>312</v>
      </c>
      <c r="C97" s="1483"/>
      <c r="D97" s="158"/>
      <c r="E97" s="159"/>
      <c r="F97" s="159"/>
      <c r="G97" s="160">
        <f>G98+G100+G102+G104</f>
        <v>12927650</v>
      </c>
      <c r="H97" s="161"/>
      <c r="I97" s="161"/>
      <c r="J97" s="161"/>
      <c r="K97" s="161"/>
      <c r="L97" s="161"/>
      <c r="M97" s="161"/>
      <c r="N97" s="161"/>
      <c r="O97" s="161"/>
      <c r="P97" s="161"/>
      <c r="Q97" s="161"/>
      <c r="R97" s="162"/>
      <c r="S97" s="158"/>
      <c r="T97" s="158"/>
      <c r="U97" s="158"/>
      <c r="V97" s="158"/>
      <c r="W97" s="158"/>
      <c r="X97" s="158"/>
      <c r="Y97" s="158"/>
      <c r="Z97" s="158"/>
      <c r="AA97" s="158"/>
      <c r="AB97" s="158"/>
      <c r="AC97" s="158"/>
      <c r="AD97" s="158"/>
      <c r="AE97" s="163" t="s">
        <v>397</v>
      </c>
      <c r="AF97" s="164"/>
      <c r="AG97" s="164"/>
      <c r="AH97" s="164"/>
      <c r="AI97" s="164"/>
      <c r="AJ97" s="164"/>
      <c r="AL97" s="164"/>
      <c r="AM97" s="164"/>
      <c r="AN97" s="164"/>
      <c r="AO97" s="164"/>
      <c r="AP97" s="164"/>
    </row>
    <row r="98" spans="1:42" s="165" customFormat="1" ht="15.75" customHeight="1">
      <c r="A98" s="1484"/>
      <c r="B98" s="1483" t="s">
        <v>398</v>
      </c>
      <c r="C98" s="159" t="s">
        <v>312</v>
      </c>
      <c r="D98" s="158"/>
      <c r="E98" s="159"/>
      <c r="F98" s="159"/>
      <c r="G98" s="160">
        <f>G99</f>
        <v>0</v>
      </c>
      <c r="H98" s="161"/>
      <c r="I98" s="161"/>
      <c r="J98" s="161"/>
      <c r="K98" s="161"/>
      <c r="L98" s="161"/>
      <c r="M98" s="161"/>
      <c r="N98" s="161"/>
      <c r="O98" s="161"/>
      <c r="P98" s="161"/>
      <c r="Q98" s="161"/>
      <c r="R98" s="162"/>
      <c r="S98" s="158"/>
      <c r="T98" s="158"/>
      <c r="U98" s="158"/>
      <c r="V98" s="158"/>
      <c r="W98" s="158"/>
      <c r="X98" s="158"/>
      <c r="Y98" s="158"/>
      <c r="Z98" s="158"/>
      <c r="AA98" s="158"/>
      <c r="AB98" s="158"/>
      <c r="AC98" s="158"/>
      <c r="AD98" s="158"/>
      <c r="AE98" s="166"/>
      <c r="AF98" s="164"/>
      <c r="AG98" s="164"/>
      <c r="AH98" s="164"/>
      <c r="AI98" s="164"/>
      <c r="AJ98" s="164"/>
      <c r="AL98" s="164"/>
      <c r="AM98" s="164"/>
      <c r="AN98" s="164"/>
      <c r="AO98" s="164"/>
      <c r="AP98" s="164"/>
    </row>
    <row r="99" spans="1:42" ht="15.75" customHeight="1">
      <c r="A99" s="1484"/>
      <c r="B99" s="1483"/>
      <c r="C99" s="159" t="s">
        <v>399</v>
      </c>
      <c r="D99" s="167"/>
      <c r="E99" s="168"/>
      <c r="F99" s="168"/>
      <c r="G99" s="160">
        <f>R99</f>
        <v>0</v>
      </c>
      <c r="H99" s="169"/>
      <c r="I99" s="169" t="s">
        <v>406</v>
      </c>
      <c r="J99" s="170" t="s">
        <v>407</v>
      </c>
      <c r="K99" s="169"/>
      <c r="L99" s="170" t="s">
        <v>408</v>
      </c>
      <c r="M99" s="170" t="s">
        <v>407</v>
      </c>
      <c r="N99" s="171"/>
      <c r="O99" s="170" t="s">
        <v>409</v>
      </c>
      <c r="P99" s="170" t="s">
        <v>410</v>
      </c>
      <c r="Q99" s="172"/>
      <c r="R99" s="173">
        <f>H99*K99*N99</f>
        <v>0</v>
      </c>
      <c r="S99" s="174"/>
      <c r="T99" s="174"/>
      <c r="U99" s="174"/>
      <c r="V99" s="174"/>
      <c r="W99" s="174"/>
      <c r="X99" s="174"/>
      <c r="Y99" s="174"/>
      <c r="Z99" s="174"/>
      <c r="AA99" s="174"/>
      <c r="AB99" s="174"/>
      <c r="AC99" s="174"/>
      <c r="AD99" s="174"/>
      <c r="AE99" s="166"/>
    </row>
    <row r="100" spans="1:42" ht="15.75" customHeight="1">
      <c r="A100" s="1484"/>
      <c r="B100" s="159" t="s">
        <v>312</v>
      </c>
      <c r="C100" s="159" t="s">
        <v>312</v>
      </c>
      <c r="D100" s="167"/>
      <c r="E100" s="168"/>
      <c r="F100" s="168"/>
      <c r="G100" s="160">
        <f>G101</f>
        <v>11340050</v>
      </c>
      <c r="H100" s="169"/>
      <c r="I100" s="169"/>
      <c r="J100" s="170"/>
      <c r="K100" s="169"/>
      <c r="L100" s="170"/>
      <c r="M100" s="170"/>
      <c r="N100" s="171"/>
      <c r="O100" s="170"/>
      <c r="P100" s="170"/>
      <c r="Q100" s="172"/>
      <c r="R100" s="173"/>
      <c r="S100" s="174"/>
      <c r="T100" s="174"/>
      <c r="U100" s="174"/>
      <c r="V100" s="174"/>
      <c r="W100" s="174"/>
      <c r="X100" s="174"/>
      <c r="Y100" s="174"/>
      <c r="Z100" s="174"/>
      <c r="AA100" s="174"/>
      <c r="AB100" s="174"/>
      <c r="AC100" s="174"/>
      <c r="AD100" s="174"/>
      <c r="AE100" s="166"/>
    </row>
    <row r="101" spans="1:42" ht="21" customHeight="1">
      <c r="A101" s="1484"/>
      <c r="B101" s="159" t="s">
        <v>401</v>
      </c>
      <c r="C101" s="194" t="s">
        <v>401</v>
      </c>
      <c r="D101" s="167"/>
      <c r="E101" s="168"/>
      <c r="F101" s="168"/>
      <c r="G101" s="160">
        <f>R101</f>
        <v>11340050</v>
      </c>
      <c r="H101" s="169">
        <f>H92</f>
        <v>236251</v>
      </c>
      <c r="I101" s="169" t="s">
        <v>406</v>
      </c>
      <c r="J101" s="170" t="s">
        <v>407</v>
      </c>
      <c r="K101" s="169">
        <v>48</v>
      </c>
      <c r="L101" s="170" t="s">
        <v>408</v>
      </c>
      <c r="M101" s="170" t="s">
        <v>407</v>
      </c>
      <c r="N101" s="171">
        <v>1</v>
      </c>
      <c r="O101" s="170" t="s">
        <v>392</v>
      </c>
      <c r="P101" s="170" t="s">
        <v>410</v>
      </c>
      <c r="Q101" s="172"/>
      <c r="R101" s="173">
        <f>ROUND(H101*K101*N101,-1)</f>
        <v>11340050</v>
      </c>
      <c r="S101" s="174"/>
      <c r="T101" s="174"/>
      <c r="U101" s="174"/>
      <c r="V101" s="174"/>
      <c r="W101" s="174"/>
      <c r="X101" s="174"/>
      <c r="Y101" s="174"/>
      <c r="Z101" s="174"/>
      <c r="AA101" s="174"/>
      <c r="AB101" s="174"/>
      <c r="AC101" s="174"/>
      <c r="AD101" s="174"/>
      <c r="AE101" s="166"/>
    </row>
    <row r="102" spans="1:42" ht="15.75" customHeight="1">
      <c r="A102" s="1484"/>
      <c r="B102" s="159" t="s">
        <v>312</v>
      </c>
      <c r="C102" s="159" t="s">
        <v>312</v>
      </c>
      <c r="D102" s="167"/>
      <c r="E102" s="168"/>
      <c r="F102" s="168"/>
      <c r="G102" s="160">
        <f>G103</f>
        <v>1587600</v>
      </c>
      <c r="H102" s="169"/>
      <c r="I102" s="169"/>
      <c r="J102" s="170"/>
      <c r="K102" s="169"/>
      <c r="L102" s="170"/>
      <c r="M102" s="170"/>
      <c r="N102" s="171"/>
      <c r="O102" s="170"/>
      <c r="P102" s="170"/>
      <c r="Q102" s="172"/>
      <c r="R102" s="173"/>
      <c r="S102" s="174"/>
      <c r="T102" s="174"/>
      <c r="U102" s="174"/>
      <c r="V102" s="174"/>
      <c r="W102" s="174"/>
      <c r="X102" s="174"/>
      <c r="Y102" s="174"/>
      <c r="Z102" s="174"/>
      <c r="AA102" s="174"/>
      <c r="AB102" s="174"/>
      <c r="AC102" s="174"/>
      <c r="AD102" s="174"/>
      <c r="AE102" s="166"/>
    </row>
    <row r="103" spans="1:42" ht="15.75" customHeight="1">
      <c r="A103" s="1484"/>
      <c r="B103" s="159" t="s">
        <v>403</v>
      </c>
      <c r="C103" s="159" t="s">
        <v>403</v>
      </c>
      <c r="D103" s="167"/>
      <c r="E103" s="168"/>
      <c r="F103" s="168"/>
      <c r="G103" s="160">
        <f>R103</f>
        <v>1587600</v>
      </c>
      <c r="H103" s="169">
        <v>33075</v>
      </c>
      <c r="I103" s="169" t="s">
        <v>406</v>
      </c>
      <c r="J103" s="170" t="s">
        <v>407</v>
      </c>
      <c r="K103" s="169">
        <v>48</v>
      </c>
      <c r="L103" s="170" t="s">
        <v>408</v>
      </c>
      <c r="M103" s="170" t="s">
        <v>407</v>
      </c>
      <c r="N103" s="171">
        <v>1</v>
      </c>
      <c r="O103" s="170" t="s">
        <v>413</v>
      </c>
      <c r="P103" s="170" t="s">
        <v>410</v>
      </c>
      <c r="Q103" s="172"/>
      <c r="R103" s="173">
        <f>ROUND(H103*K103*N103,-1)</f>
        <v>1587600</v>
      </c>
      <c r="S103" s="174"/>
      <c r="T103" s="174"/>
      <c r="U103" s="174"/>
      <c r="V103" s="174"/>
      <c r="W103" s="174"/>
      <c r="X103" s="174"/>
      <c r="Y103" s="174"/>
      <c r="Z103" s="174"/>
      <c r="AA103" s="174"/>
      <c r="AB103" s="174"/>
      <c r="AC103" s="174"/>
      <c r="AD103" s="174"/>
      <c r="AE103" s="166" t="s">
        <v>426</v>
      </c>
    </row>
    <row r="104" spans="1:42" ht="15.75" hidden="1" customHeight="1">
      <c r="A104" s="1484"/>
      <c r="B104" s="1483" t="s">
        <v>342</v>
      </c>
      <c r="C104" s="159" t="s">
        <v>312</v>
      </c>
      <c r="D104" s="167"/>
      <c r="E104" s="168"/>
      <c r="F104" s="168"/>
      <c r="G104" s="160">
        <f>SUM(G105:G106)</f>
        <v>0</v>
      </c>
      <c r="H104" s="169"/>
      <c r="I104" s="169"/>
      <c r="J104" s="170"/>
      <c r="K104" s="169"/>
      <c r="L104" s="170"/>
      <c r="M104" s="170"/>
      <c r="N104" s="171"/>
      <c r="O104" s="170"/>
      <c r="P104" s="170"/>
      <c r="Q104" s="172"/>
      <c r="R104" s="173"/>
      <c r="S104" s="174"/>
      <c r="T104" s="174"/>
      <c r="U104" s="174"/>
      <c r="V104" s="174"/>
      <c r="W104" s="174"/>
      <c r="X104" s="174"/>
      <c r="Y104" s="174"/>
      <c r="Z104" s="174"/>
      <c r="AA104" s="174"/>
      <c r="AB104" s="174"/>
      <c r="AC104" s="174"/>
      <c r="AD104" s="174"/>
      <c r="AE104" s="166"/>
    </row>
    <row r="105" spans="1:42" ht="15.75" hidden="1" customHeight="1">
      <c r="A105" s="1484"/>
      <c r="B105" s="1483"/>
      <c r="C105" s="159" t="s">
        <v>342</v>
      </c>
      <c r="D105" s="167"/>
      <c r="E105" s="168"/>
      <c r="F105" s="168"/>
      <c r="G105" s="160">
        <f>R105</f>
        <v>0</v>
      </c>
      <c r="H105" s="169">
        <f>H95</f>
        <v>0</v>
      </c>
      <c r="I105" s="169" t="s">
        <v>406</v>
      </c>
      <c r="J105" s="170" t="s">
        <v>407</v>
      </c>
      <c r="K105" s="169">
        <v>51</v>
      </c>
      <c r="L105" s="170" t="s">
        <v>408</v>
      </c>
      <c r="M105" s="170" t="s">
        <v>407</v>
      </c>
      <c r="N105" s="171">
        <v>1</v>
      </c>
      <c r="O105" s="170" t="s">
        <v>411</v>
      </c>
      <c r="P105" s="170" t="s">
        <v>410</v>
      </c>
      <c r="Q105" s="172"/>
      <c r="R105" s="173">
        <f>ROUND(H105*K105*N105,-1)</f>
        <v>0</v>
      </c>
      <c r="S105" s="174"/>
      <c r="T105" s="174"/>
      <c r="U105" s="174"/>
      <c r="V105" s="174"/>
      <c r="W105" s="174"/>
      <c r="X105" s="174"/>
      <c r="Y105" s="174"/>
      <c r="Z105" s="174"/>
      <c r="AA105" s="174"/>
      <c r="AB105" s="174"/>
      <c r="AC105" s="174"/>
      <c r="AD105" s="174"/>
      <c r="AE105" s="166"/>
    </row>
    <row r="106" spans="1:42" ht="15.75" hidden="1" customHeight="1">
      <c r="A106" s="1484"/>
      <c r="B106" s="1483"/>
      <c r="C106" s="159" t="s">
        <v>412</v>
      </c>
      <c r="D106" s="167"/>
      <c r="E106" s="168"/>
      <c r="F106" s="168"/>
      <c r="G106" s="160">
        <f>R106</f>
        <v>0</v>
      </c>
      <c r="H106" s="169"/>
      <c r="I106" s="169" t="s">
        <v>406</v>
      </c>
      <c r="J106" s="170" t="s">
        <v>407</v>
      </c>
      <c r="K106" s="169">
        <v>51</v>
      </c>
      <c r="L106" s="170" t="s">
        <v>408</v>
      </c>
      <c r="M106" s="170" t="s">
        <v>407</v>
      </c>
      <c r="N106" s="171">
        <v>1</v>
      </c>
      <c r="O106" s="170" t="s">
        <v>413</v>
      </c>
      <c r="P106" s="170" t="s">
        <v>410</v>
      </c>
      <c r="Q106" s="172"/>
      <c r="R106" s="173">
        <f>H106*K106*N106</f>
        <v>0</v>
      </c>
      <c r="S106" s="174"/>
      <c r="T106" s="174"/>
      <c r="U106" s="174"/>
      <c r="V106" s="174"/>
      <c r="W106" s="174"/>
      <c r="X106" s="174"/>
      <c r="Y106" s="174"/>
      <c r="Z106" s="174"/>
      <c r="AA106" s="174"/>
      <c r="AB106" s="174"/>
      <c r="AC106" s="174"/>
      <c r="AD106" s="174"/>
      <c r="AE106" s="166" t="s">
        <v>427</v>
      </c>
    </row>
    <row r="107" spans="1:42" s="165" customFormat="1" ht="15.75" customHeight="1">
      <c r="A107" s="1485" t="s">
        <v>428</v>
      </c>
      <c r="B107" s="1483" t="s">
        <v>312</v>
      </c>
      <c r="C107" s="1483"/>
      <c r="D107" s="158"/>
      <c r="E107" s="159"/>
      <c r="F107" s="159"/>
      <c r="G107" s="160">
        <f>G108+G110+G113</f>
        <v>11340050</v>
      </c>
      <c r="H107" s="161"/>
      <c r="I107" s="161"/>
      <c r="J107" s="161"/>
      <c r="K107" s="161"/>
      <c r="L107" s="161"/>
      <c r="M107" s="161"/>
      <c r="N107" s="161"/>
      <c r="O107" s="161"/>
      <c r="P107" s="161"/>
      <c r="Q107" s="161"/>
      <c r="R107" s="162"/>
      <c r="S107" s="158"/>
      <c r="T107" s="158"/>
      <c r="U107" s="158"/>
      <c r="V107" s="158"/>
      <c r="W107" s="158"/>
      <c r="X107" s="158"/>
      <c r="Y107" s="158"/>
      <c r="Z107" s="158"/>
      <c r="AA107" s="158"/>
      <c r="AB107" s="158"/>
      <c r="AC107" s="158"/>
      <c r="AD107" s="158"/>
      <c r="AE107" s="163" t="s">
        <v>397</v>
      </c>
      <c r="AF107" s="164"/>
      <c r="AG107" s="164"/>
      <c r="AH107" s="164"/>
      <c r="AI107" s="164"/>
      <c r="AJ107" s="164"/>
      <c r="AL107" s="164"/>
      <c r="AM107" s="164"/>
      <c r="AN107" s="164"/>
      <c r="AO107" s="164"/>
      <c r="AP107" s="164"/>
    </row>
    <row r="108" spans="1:42" s="165" customFormat="1" ht="15.75" customHeight="1">
      <c r="A108" s="1484"/>
      <c r="B108" s="1483" t="s">
        <v>398</v>
      </c>
      <c r="C108" s="159" t="s">
        <v>312</v>
      </c>
      <c r="D108" s="158"/>
      <c r="E108" s="159"/>
      <c r="F108" s="159"/>
      <c r="G108" s="160">
        <f>G109</f>
        <v>0</v>
      </c>
      <c r="H108" s="161"/>
      <c r="I108" s="161"/>
      <c r="J108" s="161"/>
      <c r="K108" s="161"/>
      <c r="L108" s="161"/>
      <c r="M108" s="161"/>
      <c r="N108" s="161"/>
      <c r="O108" s="161"/>
      <c r="P108" s="161"/>
      <c r="Q108" s="161"/>
      <c r="R108" s="162"/>
      <c r="S108" s="158"/>
      <c r="T108" s="158"/>
      <c r="U108" s="158"/>
      <c r="V108" s="158"/>
      <c r="W108" s="158"/>
      <c r="X108" s="158"/>
      <c r="Y108" s="158"/>
      <c r="Z108" s="158"/>
      <c r="AA108" s="158"/>
      <c r="AB108" s="158"/>
      <c r="AC108" s="158"/>
      <c r="AD108" s="158"/>
      <c r="AE108" s="166"/>
      <c r="AF108" s="164"/>
      <c r="AG108" s="164"/>
      <c r="AH108" s="164"/>
      <c r="AI108" s="164"/>
      <c r="AJ108" s="164"/>
      <c r="AL108" s="164"/>
      <c r="AM108" s="164"/>
      <c r="AN108" s="164"/>
      <c r="AO108" s="164"/>
      <c r="AP108" s="164"/>
    </row>
    <row r="109" spans="1:42" ht="15.75" customHeight="1">
      <c r="A109" s="1484"/>
      <c r="B109" s="1483"/>
      <c r="C109" s="159" t="s">
        <v>399</v>
      </c>
      <c r="D109" s="167"/>
      <c r="E109" s="168"/>
      <c r="F109" s="168"/>
      <c r="G109" s="160">
        <f>R109</f>
        <v>0</v>
      </c>
      <c r="H109" s="169"/>
      <c r="I109" s="169" t="s">
        <v>406</v>
      </c>
      <c r="J109" s="170" t="s">
        <v>407</v>
      </c>
      <c r="K109" s="169"/>
      <c r="L109" s="170" t="s">
        <v>408</v>
      </c>
      <c r="M109" s="170" t="s">
        <v>407</v>
      </c>
      <c r="N109" s="171">
        <v>1</v>
      </c>
      <c r="O109" s="170" t="s">
        <v>409</v>
      </c>
      <c r="P109" s="170" t="s">
        <v>410</v>
      </c>
      <c r="Q109" s="172"/>
      <c r="R109" s="173">
        <f>H109*K109*N109</f>
        <v>0</v>
      </c>
      <c r="S109" s="174"/>
      <c r="T109" s="174"/>
      <c r="U109" s="174"/>
      <c r="V109" s="174"/>
      <c r="W109" s="174"/>
      <c r="X109" s="174"/>
      <c r="Y109" s="174"/>
      <c r="Z109" s="174"/>
      <c r="AA109" s="174"/>
      <c r="AB109" s="174"/>
      <c r="AC109" s="174"/>
      <c r="AD109" s="174"/>
      <c r="AE109" s="166"/>
    </row>
    <row r="110" spans="1:42" ht="15.75" customHeight="1">
      <c r="A110" s="1484"/>
      <c r="B110" s="1483" t="s">
        <v>401</v>
      </c>
      <c r="C110" s="159" t="s">
        <v>312</v>
      </c>
      <c r="D110" s="167"/>
      <c r="E110" s="168"/>
      <c r="F110" s="168"/>
      <c r="G110" s="160">
        <f>SUM(G111:G112)</f>
        <v>11340050</v>
      </c>
      <c r="H110" s="169"/>
      <c r="I110" s="169"/>
      <c r="J110" s="170"/>
      <c r="K110" s="169"/>
      <c r="L110" s="170"/>
      <c r="M110" s="170"/>
      <c r="N110" s="171"/>
      <c r="O110" s="170"/>
      <c r="P110" s="170"/>
      <c r="Q110" s="172"/>
      <c r="R110" s="173"/>
      <c r="S110" s="174"/>
      <c r="T110" s="174"/>
      <c r="U110" s="174"/>
      <c r="V110" s="174"/>
      <c r="W110" s="174"/>
      <c r="X110" s="174"/>
      <c r="Y110" s="174"/>
      <c r="Z110" s="174"/>
      <c r="AA110" s="174"/>
      <c r="AB110" s="174"/>
      <c r="AC110" s="174"/>
      <c r="AD110" s="174"/>
      <c r="AE110" s="166"/>
    </row>
    <row r="111" spans="1:42" ht="21" customHeight="1">
      <c r="A111" s="1484"/>
      <c r="B111" s="1483"/>
      <c r="C111" s="194" t="s">
        <v>401</v>
      </c>
      <c r="D111" s="167"/>
      <c r="E111" s="168"/>
      <c r="F111" s="168"/>
      <c r="G111" s="160">
        <f>R111</f>
        <v>11340050</v>
      </c>
      <c r="H111" s="169">
        <f>H101</f>
        <v>236251</v>
      </c>
      <c r="I111" s="169" t="s">
        <v>406</v>
      </c>
      <c r="J111" s="170" t="s">
        <v>407</v>
      </c>
      <c r="K111" s="169">
        <v>48</v>
      </c>
      <c r="L111" s="170" t="s">
        <v>408</v>
      </c>
      <c r="M111" s="170" t="s">
        <v>407</v>
      </c>
      <c r="N111" s="171">
        <v>1</v>
      </c>
      <c r="O111" s="170" t="s">
        <v>392</v>
      </c>
      <c r="P111" s="170" t="s">
        <v>410</v>
      </c>
      <c r="Q111" s="172"/>
      <c r="R111" s="173">
        <f>ROUND(H111*K111*N111,-1)</f>
        <v>11340050</v>
      </c>
      <c r="S111" s="174"/>
      <c r="T111" s="174"/>
      <c r="U111" s="174"/>
      <c r="V111" s="174"/>
      <c r="W111" s="174"/>
      <c r="X111" s="174"/>
      <c r="Y111" s="174"/>
      <c r="Z111" s="174"/>
      <c r="AA111" s="174"/>
      <c r="AB111" s="174"/>
      <c r="AC111" s="174"/>
      <c r="AD111" s="174"/>
      <c r="AE111" s="166"/>
    </row>
    <row r="112" spans="1:42" ht="15.75" customHeight="1">
      <c r="A112" s="1484"/>
      <c r="B112" s="1483"/>
      <c r="C112" s="159" t="s">
        <v>403</v>
      </c>
      <c r="D112" s="167"/>
      <c r="E112" s="168"/>
      <c r="F112" s="168"/>
      <c r="G112" s="160">
        <f>R112</f>
        <v>0</v>
      </c>
      <c r="H112" s="169"/>
      <c r="I112" s="169" t="s">
        <v>406</v>
      </c>
      <c r="J112" s="170" t="s">
        <v>407</v>
      </c>
      <c r="K112" s="169"/>
      <c r="L112" s="170" t="s">
        <v>408</v>
      </c>
      <c r="M112" s="170" t="s">
        <v>407</v>
      </c>
      <c r="N112" s="171">
        <v>1</v>
      </c>
      <c r="O112" s="170" t="s">
        <v>413</v>
      </c>
      <c r="P112" s="170" t="s">
        <v>410</v>
      </c>
      <c r="Q112" s="172"/>
      <c r="R112" s="173">
        <f>ROUND(H112*K112*N112,-1)</f>
        <v>0</v>
      </c>
      <c r="S112" s="174"/>
      <c r="T112" s="174"/>
      <c r="U112" s="174"/>
      <c r="V112" s="174"/>
      <c r="W112" s="174"/>
      <c r="X112" s="174"/>
      <c r="Y112" s="174"/>
      <c r="Z112" s="174"/>
      <c r="AA112" s="174"/>
      <c r="AB112" s="174"/>
      <c r="AC112" s="174"/>
      <c r="AD112" s="174"/>
      <c r="AE112" s="166"/>
    </row>
    <row r="113" spans="1:42" ht="15.75" hidden="1" customHeight="1">
      <c r="A113" s="1484"/>
      <c r="B113" s="1483" t="s">
        <v>342</v>
      </c>
      <c r="C113" s="159" t="s">
        <v>312</v>
      </c>
      <c r="D113" s="167"/>
      <c r="E113" s="168"/>
      <c r="F113" s="168"/>
      <c r="G113" s="160">
        <f>SUM(G114:G115)</f>
        <v>0</v>
      </c>
      <c r="H113" s="169"/>
      <c r="I113" s="169"/>
      <c r="J113" s="170"/>
      <c r="K113" s="169"/>
      <c r="L113" s="170"/>
      <c r="M113" s="170"/>
      <c r="N113" s="171"/>
      <c r="O113" s="170"/>
      <c r="P113" s="170"/>
      <c r="Q113" s="172"/>
      <c r="R113" s="173"/>
      <c r="S113" s="174"/>
      <c r="T113" s="174"/>
      <c r="U113" s="174"/>
      <c r="V113" s="174"/>
      <c r="W113" s="174"/>
      <c r="X113" s="174"/>
      <c r="Y113" s="174"/>
      <c r="Z113" s="174"/>
      <c r="AA113" s="174"/>
      <c r="AB113" s="174"/>
      <c r="AC113" s="174"/>
      <c r="AD113" s="174"/>
      <c r="AE113" s="166"/>
    </row>
    <row r="114" spans="1:42" ht="15.75" hidden="1" customHeight="1">
      <c r="A114" s="1484"/>
      <c r="B114" s="1483"/>
      <c r="C114" s="159" t="s">
        <v>342</v>
      </c>
      <c r="D114" s="167"/>
      <c r="E114" s="168"/>
      <c r="F114" s="168"/>
      <c r="G114" s="160">
        <f>R114</f>
        <v>0</v>
      </c>
      <c r="H114" s="169">
        <f>H105</f>
        <v>0</v>
      </c>
      <c r="I114" s="169" t="s">
        <v>406</v>
      </c>
      <c r="J114" s="170" t="s">
        <v>407</v>
      </c>
      <c r="K114" s="169">
        <v>51</v>
      </c>
      <c r="L114" s="170" t="s">
        <v>408</v>
      </c>
      <c r="M114" s="170" t="s">
        <v>407</v>
      </c>
      <c r="N114" s="171">
        <v>1</v>
      </c>
      <c r="O114" s="170" t="s">
        <v>411</v>
      </c>
      <c r="P114" s="170" t="s">
        <v>410</v>
      </c>
      <c r="Q114" s="172"/>
      <c r="R114" s="173">
        <f>ROUND(H114*K114*N114,-1)</f>
        <v>0</v>
      </c>
      <c r="S114" s="174"/>
      <c r="T114" s="174"/>
      <c r="U114" s="174"/>
      <c r="V114" s="174"/>
      <c r="W114" s="174"/>
      <c r="X114" s="174"/>
      <c r="Y114" s="174"/>
      <c r="Z114" s="174"/>
      <c r="AA114" s="174"/>
      <c r="AB114" s="174"/>
      <c r="AC114" s="174"/>
      <c r="AD114" s="174"/>
      <c r="AE114" s="166"/>
    </row>
    <row r="115" spans="1:42" ht="15.75" hidden="1" customHeight="1">
      <c r="A115" s="1484"/>
      <c r="B115" s="1483"/>
      <c r="C115" s="159" t="s">
        <v>412</v>
      </c>
      <c r="D115" s="167"/>
      <c r="E115" s="168"/>
      <c r="F115" s="168"/>
      <c r="G115" s="160">
        <f>R115</f>
        <v>0</v>
      </c>
      <c r="H115" s="169"/>
      <c r="I115" s="169" t="s">
        <v>406</v>
      </c>
      <c r="J115" s="170" t="s">
        <v>407</v>
      </c>
      <c r="K115" s="169"/>
      <c r="L115" s="170" t="s">
        <v>408</v>
      </c>
      <c r="M115" s="170" t="s">
        <v>407</v>
      </c>
      <c r="N115" s="171">
        <v>1</v>
      </c>
      <c r="O115" s="170" t="s">
        <v>413</v>
      </c>
      <c r="P115" s="170" t="s">
        <v>410</v>
      </c>
      <c r="Q115" s="172"/>
      <c r="R115" s="173">
        <f>H115*K115*N115</f>
        <v>0</v>
      </c>
      <c r="S115" s="174"/>
      <c r="T115" s="174"/>
      <c r="U115" s="174"/>
      <c r="V115" s="174"/>
      <c r="W115" s="174"/>
      <c r="X115" s="174"/>
      <c r="Y115" s="174"/>
      <c r="Z115" s="174"/>
      <c r="AA115" s="174"/>
      <c r="AB115" s="174"/>
      <c r="AC115" s="174"/>
      <c r="AD115" s="174"/>
      <c r="AE115" s="166"/>
    </row>
    <row r="116" spans="1:42" s="165" customFormat="1" ht="15.75" customHeight="1">
      <c r="A116" s="1485" t="s">
        <v>429</v>
      </c>
      <c r="B116" s="1483" t="s">
        <v>312</v>
      </c>
      <c r="C116" s="1483"/>
      <c r="D116" s="158"/>
      <c r="E116" s="159"/>
      <c r="F116" s="159"/>
      <c r="G116" s="160">
        <f>G117+G119+G122</f>
        <v>11340050</v>
      </c>
      <c r="H116" s="161"/>
      <c r="I116" s="161"/>
      <c r="J116" s="161"/>
      <c r="K116" s="161"/>
      <c r="L116" s="161"/>
      <c r="M116" s="161"/>
      <c r="N116" s="161"/>
      <c r="O116" s="161"/>
      <c r="P116" s="161"/>
      <c r="Q116" s="161"/>
      <c r="R116" s="162"/>
      <c r="S116" s="158"/>
      <c r="T116" s="158"/>
      <c r="U116" s="158"/>
      <c r="V116" s="158"/>
      <c r="W116" s="158"/>
      <c r="X116" s="158"/>
      <c r="Y116" s="158"/>
      <c r="Z116" s="158"/>
      <c r="AA116" s="158"/>
      <c r="AB116" s="158"/>
      <c r="AC116" s="158"/>
      <c r="AD116" s="158"/>
      <c r="AE116" s="163" t="s">
        <v>430</v>
      </c>
      <c r="AF116" s="164"/>
      <c r="AG116" s="164"/>
      <c r="AH116" s="164"/>
      <c r="AI116" s="164"/>
      <c r="AJ116" s="164"/>
      <c r="AL116" s="164"/>
      <c r="AM116" s="164"/>
      <c r="AN116" s="164"/>
      <c r="AO116" s="164"/>
      <c r="AP116" s="164"/>
    </row>
    <row r="117" spans="1:42" s="165" customFormat="1" ht="15.75" customHeight="1">
      <c r="A117" s="1484"/>
      <c r="B117" s="1483" t="s">
        <v>398</v>
      </c>
      <c r="C117" s="159" t="s">
        <v>312</v>
      </c>
      <c r="D117" s="158"/>
      <c r="E117" s="159"/>
      <c r="F117" s="159"/>
      <c r="G117" s="160">
        <f>G118</f>
        <v>0</v>
      </c>
      <c r="H117" s="161"/>
      <c r="I117" s="161"/>
      <c r="J117" s="161"/>
      <c r="K117" s="161"/>
      <c r="L117" s="161"/>
      <c r="M117" s="161"/>
      <c r="N117" s="161"/>
      <c r="O117" s="161"/>
      <c r="P117" s="161"/>
      <c r="Q117" s="161"/>
      <c r="R117" s="162"/>
      <c r="S117" s="158"/>
      <c r="T117" s="158"/>
      <c r="U117" s="158"/>
      <c r="V117" s="158"/>
      <c r="W117" s="158"/>
      <c r="X117" s="158"/>
      <c r="Y117" s="158"/>
      <c r="Z117" s="158"/>
      <c r="AA117" s="158"/>
      <c r="AB117" s="158"/>
      <c r="AC117" s="158"/>
      <c r="AD117" s="158"/>
      <c r="AE117" s="166"/>
      <c r="AF117" s="164"/>
      <c r="AG117" s="164"/>
      <c r="AH117" s="164"/>
      <c r="AI117" s="164"/>
      <c r="AJ117" s="164"/>
      <c r="AL117" s="164"/>
      <c r="AM117" s="164"/>
      <c r="AN117" s="164"/>
      <c r="AO117" s="164"/>
      <c r="AP117" s="164"/>
    </row>
    <row r="118" spans="1:42" ht="15.75" customHeight="1">
      <c r="A118" s="1484"/>
      <c r="B118" s="1483"/>
      <c r="C118" s="159" t="s">
        <v>399</v>
      </c>
      <c r="D118" s="167"/>
      <c r="E118" s="168"/>
      <c r="F118" s="168"/>
      <c r="G118" s="160">
        <f>R118</f>
        <v>0</v>
      </c>
      <c r="H118" s="169"/>
      <c r="I118" s="169" t="s">
        <v>406</v>
      </c>
      <c r="J118" s="170" t="s">
        <v>407</v>
      </c>
      <c r="K118" s="169"/>
      <c r="L118" s="170" t="s">
        <v>408</v>
      </c>
      <c r="M118" s="170" t="s">
        <v>407</v>
      </c>
      <c r="N118" s="171">
        <v>1</v>
      </c>
      <c r="O118" s="170" t="s">
        <v>409</v>
      </c>
      <c r="P118" s="170" t="s">
        <v>410</v>
      </c>
      <c r="Q118" s="172"/>
      <c r="R118" s="173">
        <f>H118*K118*N118</f>
        <v>0</v>
      </c>
      <c r="S118" s="174"/>
      <c r="T118" s="174"/>
      <c r="U118" s="174"/>
      <c r="V118" s="174"/>
      <c r="W118" s="174"/>
      <c r="X118" s="174"/>
      <c r="Y118" s="174"/>
      <c r="Z118" s="174"/>
      <c r="AA118" s="174"/>
      <c r="AB118" s="174"/>
      <c r="AC118" s="174"/>
      <c r="AD118" s="174"/>
      <c r="AE118" s="166"/>
    </row>
    <row r="119" spans="1:42" ht="15.75" customHeight="1">
      <c r="A119" s="1484"/>
      <c r="B119" s="1483" t="s">
        <v>401</v>
      </c>
      <c r="C119" s="159" t="s">
        <v>312</v>
      </c>
      <c r="D119" s="167"/>
      <c r="E119" s="168"/>
      <c r="F119" s="168"/>
      <c r="G119" s="160">
        <f>SUM(G120:G121)</f>
        <v>11340050</v>
      </c>
      <c r="H119" s="169"/>
      <c r="I119" s="169"/>
      <c r="J119" s="170"/>
      <c r="K119" s="169"/>
      <c r="L119" s="170"/>
      <c r="M119" s="170"/>
      <c r="N119" s="171"/>
      <c r="O119" s="170"/>
      <c r="P119" s="170"/>
      <c r="Q119" s="172"/>
      <c r="R119" s="173"/>
      <c r="S119" s="174"/>
      <c r="T119" s="174"/>
      <c r="U119" s="174"/>
      <c r="V119" s="174"/>
      <c r="W119" s="174"/>
      <c r="X119" s="174"/>
      <c r="Y119" s="174"/>
      <c r="Z119" s="174"/>
      <c r="AA119" s="174"/>
      <c r="AB119" s="174"/>
      <c r="AC119" s="174"/>
      <c r="AD119" s="174"/>
      <c r="AE119" s="166"/>
    </row>
    <row r="120" spans="1:42" ht="21" customHeight="1">
      <c r="A120" s="1484"/>
      <c r="B120" s="1483"/>
      <c r="C120" s="194" t="s">
        <v>401</v>
      </c>
      <c r="D120" s="167"/>
      <c r="E120" s="168"/>
      <c r="F120" s="168"/>
      <c r="G120" s="160">
        <f>R120</f>
        <v>11340050</v>
      </c>
      <c r="H120" s="169">
        <f>H111</f>
        <v>236251</v>
      </c>
      <c r="I120" s="169" t="s">
        <v>406</v>
      </c>
      <c r="J120" s="170" t="s">
        <v>407</v>
      </c>
      <c r="K120" s="169">
        <v>48</v>
      </c>
      <c r="L120" s="170" t="s">
        <v>408</v>
      </c>
      <c r="M120" s="170" t="s">
        <v>407</v>
      </c>
      <c r="N120" s="171">
        <v>1</v>
      </c>
      <c r="O120" s="170" t="s">
        <v>392</v>
      </c>
      <c r="P120" s="170" t="s">
        <v>410</v>
      </c>
      <c r="Q120" s="172"/>
      <c r="R120" s="173">
        <f>ROUND(H120*K120*N120,-1)</f>
        <v>11340050</v>
      </c>
      <c r="S120" s="174"/>
      <c r="T120" s="174"/>
      <c r="U120" s="174"/>
      <c r="V120" s="174"/>
      <c r="W120" s="174"/>
      <c r="X120" s="174"/>
      <c r="Y120" s="174"/>
      <c r="Z120" s="174"/>
      <c r="AA120" s="174"/>
      <c r="AB120" s="174"/>
      <c r="AC120" s="174"/>
      <c r="AD120" s="174"/>
      <c r="AE120" s="166"/>
    </row>
    <row r="121" spans="1:42" ht="15.75" customHeight="1">
      <c r="A121" s="1484"/>
      <c r="B121" s="1483"/>
      <c r="C121" s="159" t="s">
        <v>403</v>
      </c>
      <c r="D121" s="167"/>
      <c r="E121" s="168"/>
      <c r="F121" s="168"/>
      <c r="G121" s="160">
        <f>R121</f>
        <v>0</v>
      </c>
      <c r="H121" s="169"/>
      <c r="I121" s="169" t="s">
        <v>406</v>
      </c>
      <c r="J121" s="170" t="s">
        <v>407</v>
      </c>
      <c r="K121" s="169"/>
      <c r="L121" s="170" t="s">
        <v>408</v>
      </c>
      <c r="M121" s="170" t="s">
        <v>407</v>
      </c>
      <c r="N121" s="171">
        <v>1</v>
      </c>
      <c r="O121" s="170" t="s">
        <v>413</v>
      </c>
      <c r="P121" s="170" t="s">
        <v>410</v>
      </c>
      <c r="Q121" s="172"/>
      <c r="R121" s="173">
        <f>ROUND(H121*K121*N121,-1)</f>
        <v>0</v>
      </c>
      <c r="S121" s="174"/>
      <c r="T121" s="174"/>
      <c r="U121" s="174"/>
      <c r="V121" s="174"/>
      <c r="W121" s="174"/>
      <c r="X121" s="174"/>
      <c r="Y121" s="174"/>
      <c r="Z121" s="174"/>
      <c r="AA121" s="174"/>
      <c r="AB121" s="174"/>
      <c r="AC121" s="174"/>
      <c r="AD121" s="174"/>
      <c r="AE121" s="166"/>
    </row>
    <row r="122" spans="1:42" ht="15.75" hidden="1" customHeight="1">
      <c r="A122" s="1484"/>
      <c r="B122" s="1483"/>
      <c r="C122" s="159"/>
      <c r="D122" s="167"/>
      <c r="E122" s="168"/>
      <c r="F122" s="168"/>
      <c r="G122" s="160"/>
      <c r="H122" s="169"/>
      <c r="I122" s="169"/>
      <c r="J122" s="170"/>
      <c r="K122" s="169"/>
      <c r="L122" s="170"/>
      <c r="M122" s="170"/>
      <c r="N122" s="171"/>
      <c r="O122" s="170"/>
      <c r="P122" s="170"/>
      <c r="Q122" s="172"/>
      <c r="R122" s="173"/>
      <c r="S122" s="174"/>
      <c r="T122" s="174"/>
      <c r="U122" s="174"/>
      <c r="V122" s="174"/>
      <c r="W122" s="174"/>
      <c r="X122" s="174"/>
      <c r="Y122" s="174"/>
      <c r="Z122" s="174"/>
      <c r="AA122" s="174"/>
      <c r="AB122" s="174"/>
      <c r="AC122" s="174"/>
      <c r="AD122" s="174"/>
      <c r="AE122" s="166"/>
    </row>
    <row r="123" spans="1:42" ht="15.75" hidden="1" customHeight="1">
      <c r="A123" s="1484"/>
      <c r="B123" s="1483"/>
      <c r="C123" s="159"/>
      <c r="D123" s="167"/>
      <c r="E123" s="168"/>
      <c r="F123" s="168"/>
      <c r="G123" s="160"/>
      <c r="H123" s="169"/>
      <c r="I123" s="169"/>
      <c r="J123" s="170"/>
      <c r="K123" s="169"/>
      <c r="L123" s="170"/>
      <c r="M123" s="170"/>
      <c r="N123" s="171"/>
      <c r="O123" s="170"/>
      <c r="P123" s="170"/>
      <c r="Q123" s="172"/>
      <c r="R123" s="173"/>
      <c r="S123" s="174"/>
      <c r="T123" s="174"/>
      <c r="U123" s="174"/>
      <c r="V123" s="174"/>
      <c r="W123" s="174"/>
      <c r="X123" s="174"/>
      <c r="Y123" s="174"/>
      <c r="Z123" s="174"/>
      <c r="AA123" s="174"/>
      <c r="AB123" s="174"/>
      <c r="AC123" s="174"/>
      <c r="AD123" s="174"/>
      <c r="AE123" s="166"/>
    </row>
    <row r="124" spans="1:42" ht="15.75" customHeight="1" thickBot="1">
      <c r="A124" s="1486"/>
      <c r="B124" s="1487"/>
      <c r="C124" s="198"/>
      <c r="D124" s="199"/>
      <c r="E124" s="200"/>
      <c r="F124" s="200"/>
      <c r="G124" s="201"/>
      <c r="H124" s="202"/>
      <c r="I124" s="202"/>
      <c r="J124" s="203"/>
      <c r="K124" s="202"/>
      <c r="L124" s="203"/>
      <c r="M124" s="203"/>
      <c r="N124" s="204"/>
      <c r="O124" s="203"/>
      <c r="P124" s="203"/>
      <c r="Q124" s="205"/>
      <c r="R124" s="206"/>
      <c r="S124" s="195"/>
      <c r="T124" s="195"/>
      <c r="U124" s="195"/>
      <c r="V124" s="195"/>
      <c r="W124" s="195"/>
      <c r="X124" s="195"/>
      <c r="Y124" s="195"/>
      <c r="Z124" s="195"/>
      <c r="AA124" s="195"/>
      <c r="AB124" s="195"/>
      <c r="AC124" s="195"/>
      <c r="AD124" s="195"/>
      <c r="AE124" s="196"/>
    </row>
    <row r="126" spans="1:42" hidden="1"/>
    <row r="127" spans="1:42" hidden="1">
      <c r="G127" s="147" t="s">
        <v>425</v>
      </c>
      <c r="H127" s="169"/>
      <c r="I127" s="169" t="s">
        <v>406</v>
      </c>
      <c r="J127" s="170" t="s">
        <v>407</v>
      </c>
      <c r="K127" s="169">
        <v>0</v>
      </c>
      <c r="L127" s="170" t="s">
        <v>408</v>
      </c>
      <c r="M127" s="170" t="s">
        <v>407</v>
      </c>
      <c r="N127" s="171">
        <v>1</v>
      </c>
      <c r="O127" s="170" t="s">
        <v>409</v>
      </c>
      <c r="P127" s="170" t="s">
        <v>410</v>
      </c>
      <c r="Q127" s="172"/>
      <c r="R127" s="173">
        <f>H127*K127*N127</f>
        <v>0</v>
      </c>
    </row>
    <row r="128" spans="1:42" hidden="1">
      <c r="H128" s="169">
        <v>116555</v>
      </c>
      <c r="I128" s="169" t="s">
        <v>406</v>
      </c>
      <c r="J128" s="170" t="s">
        <v>407</v>
      </c>
      <c r="K128" s="169">
        <v>0</v>
      </c>
      <c r="L128" s="170" t="s">
        <v>408</v>
      </c>
      <c r="M128" s="170" t="s">
        <v>407</v>
      </c>
      <c r="N128" s="171">
        <v>1</v>
      </c>
      <c r="O128" s="170" t="s">
        <v>392</v>
      </c>
      <c r="P128" s="170" t="s">
        <v>410</v>
      </c>
      <c r="Q128" s="172"/>
      <c r="R128" s="173">
        <f>ROUND(H128*K128*N128,-1)</f>
        <v>0</v>
      </c>
    </row>
    <row r="129" spans="1:31" hidden="1">
      <c r="H129" s="169">
        <v>23050</v>
      </c>
      <c r="I129" s="169" t="s">
        <v>406</v>
      </c>
      <c r="J129" s="170" t="s">
        <v>407</v>
      </c>
      <c r="K129" s="169">
        <v>0</v>
      </c>
      <c r="L129" s="170" t="s">
        <v>408</v>
      </c>
      <c r="M129" s="170" t="s">
        <v>407</v>
      </c>
      <c r="N129" s="171">
        <v>1</v>
      </c>
      <c r="O129" s="170" t="s">
        <v>413</v>
      </c>
      <c r="P129" s="170" t="s">
        <v>410</v>
      </c>
      <c r="Q129" s="172"/>
      <c r="R129" s="173">
        <f>ROUND(H129*K129*N129,-1)</f>
        <v>0</v>
      </c>
    </row>
    <row r="130" spans="1:31" hidden="1">
      <c r="H130" s="169">
        <v>11845</v>
      </c>
      <c r="I130" s="169" t="s">
        <v>406</v>
      </c>
      <c r="J130" s="170" t="s">
        <v>407</v>
      </c>
      <c r="K130" s="169">
        <v>0</v>
      </c>
      <c r="L130" s="170" t="s">
        <v>408</v>
      </c>
      <c r="M130" s="170" t="s">
        <v>407</v>
      </c>
      <c r="N130" s="171">
        <v>1</v>
      </c>
      <c r="O130" s="170" t="s">
        <v>411</v>
      </c>
      <c r="P130" s="170" t="s">
        <v>410</v>
      </c>
      <c r="Q130" s="172"/>
      <c r="R130" s="173">
        <f>ROUND(H130*K130*N130,-1)</f>
        <v>0</v>
      </c>
    </row>
    <row r="131" spans="1:31" hidden="1">
      <c r="H131" s="182">
        <v>17490</v>
      </c>
      <c r="I131" s="182" t="s">
        <v>406</v>
      </c>
      <c r="J131" s="183" t="s">
        <v>407</v>
      </c>
      <c r="K131" s="169">
        <v>0</v>
      </c>
      <c r="L131" s="183" t="s">
        <v>408</v>
      </c>
      <c r="M131" s="183" t="s">
        <v>407</v>
      </c>
      <c r="N131" s="184">
        <v>1</v>
      </c>
      <c r="O131" s="183" t="s">
        <v>413</v>
      </c>
      <c r="P131" s="183" t="s">
        <v>410</v>
      </c>
      <c r="Q131" s="185"/>
      <c r="R131" s="186">
        <f>H131*K131*N131</f>
        <v>0</v>
      </c>
    </row>
    <row r="132" spans="1:31" hidden="1"/>
    <row r="133" spans="1:31" hidden="1">
      <c r="G133" s="147" t="s">
        <v>428</v>
      </c>
      <c r="H133" s="169"/>
      <c r="I133" s="169" t="s">
        <v>406</v>
      </c>
      <c r="J133" s="170" t="s">
        <v>407</v>
      </c>
      <c r="K133" s="169">
        <v>0</v>
      </c>
      <c r="L133" s="170" t="s">
        <v>408</v>
      </c>
      <c r="M133" s="170" t="s">
        <v>407</v>
      </c>
      <c r="N133" s="171">
        <v>1</v>
      </c>
      <c r="O133" s="170" t="s">
        <v>409</v>
      </c>
      <c r="P133" s="170" t="s">
        <v>410</v>
      </c>
      <c r="Q133" s="172"/>
      <c r="R133" s="173">
        <f>H133*K133*N133</f>
        <v>0</v>
      </c>
    </row>
    <row r="134" spans="1:31" hidden="1">
      <c r="H134" s="169">
        <v>116555</v>
      </c>
      <c r="I134" s="169" t="s">
        <v>406</v>
      </c>
      <c r="J134" s="170" t="s">
        <v>407</v>
      </c>
      <c r="K134" s="169">
        <v>0</v>
      </c>
      <c r="L134" s="170" t="s">
        <v>408</v>
      </c>
      <c r="M134" s="170" t="s">
        <v>407</v>
      </c>
      <c r="N134" s="171">
        <v>1</v>
      </c>
      <c r="O134" s="170" t="s">
        <v>392</v>
      </c>
      <c r="P134" s="170" t="s">
        <v>410</v>
      </c>
      <c r="Q134" s="172"/>
      <c r="R134" s="173">
        <f>ROUND(H134*K134*N134,-1)</f>
        <v>0</v>
      </c>
    </row>
    <row r="135" spans="1:31" hidden="1">
      <c r="H135" s="169"/>
      <c r="I135" s="169" t="s">
        <v>406</v>
      </c>
      <c r="J135" s="170" t="s">
        <v>407</v>
      </c>
      <c r="K135" s="169">
        <v>0</v>
      </c>
      <c r="L135" s="170" t="s">
        <v>408</v>
      </c>
      <c r="M135" s="170" t="s">
        <v>407</v>
      </c>
      <c r="N135" s="171">
        <v>1</v>
      </c>
      <c r="O135" s="170" t="s">
        <v>413</v>
      </c>
      <c r="P135" s="170" t="s">
        <v>410</v>
      </c>
      <c r="Q135" s="172"/>
      <c r="R135" s="173">
        <f>ROUND(H135*K135*N135,-1)</f>
        <v>0</v>
      </c>
    </row>
    <row r="136" spans="1:31" hidden="1">
      <c r="H136" s="169">
        <v>11845</v>
      </c>
      <c r="I136" s="169" t="s">
        <v>406</v>
      </c>
      <c r="J136" s="170" t="s">
        <v>407</v>
      </c>
      <c r="K136" s="169">
        <v>0</v>
      </c>
      <c r="L136" s="170" t="s">
        <v>408</v>
      </c>
      <c r="M136" s="170" t="s">
        <v>407</v>
      </c>
      <c r="N136" s="171">
        <v>1</v>
      </c>
      <c r="O136" s="170" t="s">
        <v>411</v>
      </c>
      <c r="P136" s="170" t="s">
        <v>410</v>
      </c>
      <c r="Q136" s="172"/>
      <c r="R136" s="173">
        <f>ROUND(H136*K136*N136,-1)</f>
        <v>0</v>
      </c>
    </row>
    <row r="137" spans="1:31" hidden="1">
      <c r="H137" s="182"/>
      <c r="I137" s="182" t="s">
        <v>406</v>
      </c>
      <c r="J137" s="183" t="s">
        <v>407</v>
      </c>
      <c r="K137" s="169">
        <v>0</v>
      </c>
      <c r="L137" s="183" t="s">
        <v>408</v>
      </c>
      <c r="M137" s="183" t="s">
        <v>407</v>
      </c>
      <c r="N137" s="184">
        <v>1</v>
      </c>
      <c r="O137" s="183" t="s">
        <v>413</v>
      </c>
      <c r="P137" s="183" t="s">
        <v>410</v>
      </c>
      <c r="Q137" s="185"/>
      <c r="R137" s="186">
        <f>H137*K137*N137</f>
        <v>0</v>
      </c>
    </row>
    <row r="138" spans="1:31" hidden="1"/>
    <row r="139" spans="1:31" hidden="1">
      <c r="G139" s="147" t="s">
        <v>429</v>
      </c>
      <c r="H139" s="169"/>
      <c r="I139" s="169" t="s">
        <v>406</v>
      </c>
      <c r="J139" s="170" t="s">
        <v>407</v>
      </c>
      <c r="K139" s="169">
        <v>0</v>
      </c>
      <c r="L139" s="170" t="s">
        <v>408</v>
      </c>
      <c r="M139" s="170" t="s">
        <v>407</v>
      </c>
      <c r="N139" s="171">
        <v>1</v>
      </c>
      <c r="O139" s="170" t="s">
        <v>409</v>
      </c>
      <c r="P139" s="170" t="s">
        <v>410</v>
      </c>
      <c r="Q139" s="172"/>
      <c r="R139" s="173">
        <f>H139*K139*N139</f>
        <v>0</v>
      </c>
    </row>
    <row r="140" spans="1:31" hidden="1">
      <c r="H140" s="169">
        <v>116555</v>
      </c>
      <c r="I140" s="169" t="s">
        <v>406</v>
      </c>
      <c r="J140" s="170" t="s">
        <v>407</v>
      </c>
      <c r="K140" s="169">
        <v>0</v>
      </c>
      <c r="L140" s="170" t="s">
        <v>408</v>
      </c>
      <c r="M140" s="170" t="s">
        <v>407</v>
      </c>
      <c r="N140" s="171">
        <v>1</v>
      </c>
      <c r="O140" s="170" t="s">
        <v>392</v>
      </c>
      <c r="P140" s="170" t="s">
        <v>410</v>
      </c>
      <c r="Q140" s="172"/>
      <c r="R140" s="173">
        <f>ROUND(H140*K140*N140,-1)</f>
        <v>0</v>
      </c>
    </row>
    <row r="141" spans="1:31" hidden="1">
      <c r="H141" s="169"/>
      <c r="I141" s="169" t="s">
        <v>406</v>
      </c>
      <c r="J141" s="170" t="s">
        <v>407</v>
      </c>
      <c r="K141" s="169">
        <v>0</v>
      </c>
      <c r="L141" s="170" t="s">
        <v>408</v>
      </c>
      <c r="M141" s="170" t="s">
        <v>407</v>
      </c>
      <c r="N141" s="171">
        <v>1</v>
      </c>
      <c r="O141" s="170" t="s">
        <v>413</v>
      </c>
      <c r="P141" s="170" t="s">
        <v>410</v>
      </c>
      <c r="Q141" s="172"/>
      <c r="R141" s="173">
        <f>ROUND(H141*K141*N141,-1)</f>
        <v>0</v>
      </c>
    </row>
    <row r="142" spans="1:31" hidden="1">
      <c r="H142" s="169">
        <v>11845</v>
      </c>
      <c r="I142" s="169" t="s">
        <v>406</v>
      </c>
      <c r="J142" s="170" t="s">
        <v>407</v>
      </c>
      <c r="K142" s="169">
        <v>0</v>
      </c>
      <c r="L142" s="170" t="s">
        <v>408</v>
      </c>
      <c r="M142" s="170" t="s">
        <v>407</v>
      </c>
      <c r="N142" s="171">
        <v>1</v>
      </c>
      <c r="O142" s="170" t="s">
        <v>411</v>
      </c>
      <c r="P142" s="170" t="s">
        <v>410</v>
      </c>
      <c r="Q142" s="172"/>
      <c r="R142" s="173">
        <f>ROUND(H142*K142*N142,-1)</f>
        <v>0</v>
      </c>
    </row>
    <row r="143" spans="1:31" hidden="1">
      <c r="H143" s="210"/>
      <c r="I143" s="210" t="s">
        <v>406</v>
      </c>
      <c r="J143" s="211" t="s">
        <v>407</v>
      </c>
      <c r="K143" s="210">
        <v>0</v>
      </c>
      <c r="L143" s="211" t="s">
        <v>408</v>
      </c>
      <c r="M143" s="211" t="s">
        <v>407</v>
      </c>
      <c r="N143" s="212">
        <v>1</v>
      </c>
      <c r="O143" s="211" t="s">
        <v>413</v>
      </c>
      <c r="P143" s="211" t="s">
        <v>410</v>
      </c>
      <c r="Q143" s="213"/>
      <c r="R143" s="214">
        <f>H143*K143*N143</f>
        <v>0</v>
      </c>
    </row>
    <row r="144" spans="1:31" ht="14.25" hidden="1" thickTop="1">
      <c r="A144" s="215"/>
      <c r="B144" s="216"/>
      <c r="C144" s="216"/>
      <c r="D144" s="217"/>
      <c r="E144" s="215"/>
      <c r="F144" s="215"/>
      <c r="G144" s="218"/>
      <c r="H144" s="219"/>
      <c r="I144" s="219"/>
      <c r="J144" s="217"/>
      <c r="K144" s="219"/>
      <c r="L144" s="217"/>
      <c r="M144" s="217"/>
      <c r="N144" s="218"/>
      <c r="O144" s="217"/>
      <c r="P144" s="217"/>
      <c r="Q144" s="220"/>
      <c r="R144" s="219"/>
      <c r="S144" s="219"/>
      <c r="T144" s="219"/>
      <c r="U144" s="219"/>
      <c r="V144" s="219"/>
      <c r="W144" s="219"/>
      <c r="X144" s="219"/>
      <c r="Y144" s="219"/>
      <c r="Z144" s="219"/>
      <c r="AA144" s="219"/>
      <c r="AB144" s="219"/>
      <c r="AC144" s="219"/>
      <c r="AD144" s="219"/>
      <c r="AE144" s="221"/>
    </row>
    <row r="145" hidden="1"/>
  </sheetData>
  <mergeCells count="68">
    <mergeCell ref="A97:A106"/>
    <mergeCell ref="B97:C97"/>
    <mergeCell ref="B98:B99"/>
    <mergeCell ref="A107:A115"/>
    <mergeCell ref="B107:C107"/>
    <mergeCell ref="B108:B109"/>
    <mergeCell ref="B110:B112"/>
    <mergeCell ref="B113:B115"/>
    <mergeCell ref="B104:B106"/>
    <mergeCell ref="A116:A124"/>
    <mergeCell ref="B116:C116"/>
    <mergeCell ref="B117:B118"/>
    <mergeCell ref="B119:B121"/>
    <mergeCell ref="B122:B124"/>
    <mergeCell ref="A70:A78"/>
    <mergeCell ref="B70:C70"/>
    <mergeCell ref="B71:B72"/>
    <mergeCell ref="B73:B75"/>
    <mergeCell ref="B76:B78"/>
    <mergeCell ref="A79:A87"/>
    <mergeCell ref="B79:C79"/>
    <mergeCell ref="B80:B81"/>
    <mergeCell ref="B82:B84"/>
    <mergeCell ref="B85:B87"/>
    <mergeCell ref="A88:A96"/>
    <mergeCell ref="B88:C88"/>
    <mergeCell ref="B89:B90"/>
    <mergeCell ref="B91:B93"/>
    <mergeCell ref="B94:B96"/>
    <mergeCell ref="A52:A60"/>
    <mergeCell ref="B52:C52"/>
    <mergeCell ref="B53:B54"/>
    <mergeCell ref="B55:B57"/>
    <mergeCell ref="B58:B60"/>
    <mergeCell ref="A61:A69"/>
    <mergeCell ref="B61:C61"/>
    <mergeCell ref="B62:B63"/>
    <mergeCell ref="B64:B66"/>
    <mergeCell ref="B67:B69"/>
    <mergeCell ref="A34:A42"/>
    <mergeCell ref="B34:C34"/>
    <mergeCell ref="B35:B36"/>
    <mergeCell ref="B37:B39"/>
    <mergeCell ref="B40:B42"/>
    <mergeCell ref="A43:A51"/>
    <mergeCell ref="B43:C43"/>
    <mergeCell ref="B44:B45"/>
    <mergeCell ref="B46:B48"/>
    <mergeCell ref="B49:B51"/>
    <mergeCell ref="A16:A24"/>
    <mergeCell ref="B16:C16"/>
    <mergeCell ref="B17:B18"/>
    <mergeCell ref="B19:B21"/>
    <mergeCell ref="B22:B24"/>
    <mergeCell ref="A25:A33"/>
    <mergeCell ref="B25:C25"/>
    <mergeCell ref="B26:B27"/>
    <mergeCell ref="B28:B30"/>
    <mergeCell ref="B31:B33"/>
    <mergeCell ref="A2:P2"/>
    <mergeCell ref="B4:C4"/>
    <mergeCell ref="H4:R4"/>
    <mergeCell ref="A5:C5"/>
    <mergeCell ref="A6:A15"/>
    <mergeCell ref="B6:C6"/>
    <mergeCell ref="B7:B8"/>
    <mergeCell ref="B9:B10"/>
    <mergeCell ref="B11:B12"/>
  </mergeCells>
  <phoneticPr fontId="7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3"/>
  <sheetViews>
    <sheetView workbookViewId="0">
      <selection activeCell="D19" sqref="D19:N19"/>
    </sheetView>
  </sheetViews>
  <sheetFormatPr defaultRowHeight="13.5"/>
  <cols>
    <col min="1" max="1" width="12.5" style="124" customWidth="1"/>
    <col min="2" max="2" width="11" style="207" customWidth="1"/>
    <col min="3" max="3" width="11.125" style="207" customWidth="1"/>
    <col min="4" max="4" width="5.375" style="141" customWidth="1"/>
    <col min="5" max="5" width="6.5" style="208" customWidth="1"/>
    <col min="6" max="6" width="2.625" style="124" customWidth="1"/>
    <col min="7" max="7" width="2" style="147" customWidth="1"/>
    <col min="8" max="8" width="2.875" style="147" customWidth="1"/>
    <col min="9" max="9" width="2.625" style="141" customWidth="1"/>
    <col min="10" max="10" width="2.125" style="141" customWidth="1"/>
    <col min="11" max="11" width="4.5" style="141" bestFit="1" customWidth="1"/>
    <col min="12" max="12" width="3.875" style="141" customWidth="1"/>
    <col min="13" max="13" width="2.25" style="141" customWidth="1"/>
    <col min="14" max="14" width="9.5" style="141" bestFit="1" customWidth="1"/>
    <col min="15" max="15" width="10.75" style="147" customWidth="1"/>
    <col min="16" max="16" width="11.5" style="141" customWidth="1"/>
    <col min="17" max="18" width="9.75" style="143" customWidth="1"/>
    <col min="19" max="19" width="9.75" style="223" customWidth="1"/>
    <col min="20" max="32" width="9.75" style="175" customWidth="1"/>
    <col min="33" max="33" width="9.75" style="224" customWidth="1"/>
    <col min="34" max="34" width="11.875" style="175" hidden="1" customWidth="1"/>
    <col min="35" max="35" width="7" style="175" hidden="1" customWidth="1"/>
    <col min="36" max="36" width="5.375" style="175" hidden="1" customWidth="1"/>
    <col min="37" max="37" width="13" style="175" customWidth="1"/>
    <col min="38" max="38" width="15.125" style="175" customWidth="1"/>
    <col min="39" max="39" width="25.75" style="144" customWidth="1"/>
    <col min="40" max="40" width="12.625" style="175" customWidth="1"/>
    <col min="41" max="41" width="12.875" style="175" customWidth="1"/>
    <col min="42" max="42" width="11.25" style="175" customWidth="1"/>
    <col min="43" max="44" width="9" style="175"/>
    <col min="45" max="45" width="10.5" style="123" bestFit="1" customWidth="1"/>
    <col min="46" max="16384" width="9" style="123"/>
  </cols>
  <sheetData>
    <row r="1" spans="1:18" ht="36" customHeight="1">
      <c r="A1" s="1458" t="s">
        <v>431</v>
      </c>
      <c r="B1" s="1458"/>
      <c r="C1" s="1458"/>
      <c r="D1" s="1458"/>
      <c r="E1" s="1458"/>
      <c r="F1" s="1458"/>
      <c r="G1" s="1458"/>
      <c r="H1" s="1458"/>
      <c r="I1" s="1458"/>
      <c r="J1" s="1458"/>
      <c r="K1" s="1458"/>
      <c r="L1" s="1458"/>
      <c r="M1" s="1458"/>
      <c r="N1" s="1458"/>
      <c r="O1" s="1458"/>
      <c r="P1" s="1458"/>
      <c r="Q1" s="222"/>
      <c r="R1" s="222"/>
    </row>
    <row r="2" spans="1:18" ht="20.25" customHeight="1">
      <c r="A2" s="145"/>
      <c r="B2" s="145"/>
      <c r="C2" s="145"/>
      <c r="D2" s="145"/>
      <c r="E2" s="145"/>
      <c r="F2" s="145"/>
      <c r="G2" s="146"/>
      <c r="H2" s="146"/>
      <c r="I2" s="146"/>
      <c r="J2" s="146"/>
      <c r="K2" s="146"/>
      <c r="L2" s="146"/>
      <c r="M2" s="146"/>
      <c r="N2" s="146"/>
      <c r="O2" s="146"/>
      <c r="P2" s="225" t="s">
        <v>298</v>
      </c>
      <c r="Q2" s="146"/>
      <c r="R2" s="146"/>
    </row>
    <row r="3" spans="1:18" ht="22.5" customHeight="1" thickBot="1">
      <c r="A3" s="226" t="s">
        <v>1</v>
      </c>
      <c r="B3" s="227" t="s">
        <v>2</v>
      </c>
      <c r="C3" s="227" t="s">
        <v>3</v>
      </c>
      <c r="D3" s="1491" t="s">
        <v>432</v>
      </c>
      <c r="E3" s="1492"/>
      <c r="F3" s="1492"/>
      <c r="G3" s="1492"/>
      <c r="H3" s="1492"/>
      <c r="I3" s="1492"/>
      <c r="J3" s="1492"/>
      <c r="K3" s="1492"/>
      <c r="L3" s="1492"/>
      <c r="M3" s="1492"/>
      <c r="N3" s="1492"/>
      <c r="O3" s="228" t="s">
        <v>433</v>
      </c>
      <c r="P3" s="229" t="s">
        <v>434</v>
      </c>
    </row>
    <row r="4" spans="1:18" ht="23.25" customHeight="1" thickTop="1">
      <c r="A4" s="1493" t="s">
        <v>435</v>
      </c>
      <c r="B4" s="1494"/>
      <c r="C4" s="1494"/>
      <c r="D4" s="1494"/>
      <c r="E4" s="1494"/>
      <c r="F4" s="1494"/>
      <c r="G4" s="1494"/>
      <c r="H4" s="1494"/>
      <c r="I4" s="1494"/>
      <c r="J4" s="1494"/>
      <c r="K4" s="1494"/>
      <c r="L4" s="1494"/>
      <c r="M4" s="1494"/>
      <c r="N4" s="1494"/>
      <c r="O4" s="230">
        <f>O5+O19+O33+O40</f>
        <v>32840000</v>
      </c>
      <c r="P4" s="231"/>
    </row>
    <row r="5" spans="1:18" ht="27.75" customHeight="1">
      <c r="A5" s="232" t="s">
        <v>436</v>
      </c>
      <c r="B5" s="233" t="s">
        <v>436</v>
      </c>
      <c r="C5" s="233" t="s">
        <v>436</v>
      </c>
      <c r="D5" s="1495" t="s">
        <v>309</v>
      </c>
      <c r="E5" s="1496"/>
      <c r="F5" s="1496"/>
      <c r="G5" s="1496"/>
      <c r="H5" s="1496"/>
      <c r="I5" s="1496"/>
      <c r="J5" s="1496"/>
      <c r="K5" s="1496"/>
      <c r="L5" s="1496"/>
      <c r="M5" s="1496"/>
      <c r="N5" s="1496"/>
      <c r="O5" s="234">
        <f>SUM(O7:O18)</f>
        <v>14600000</v>
      </c>
      <c r="P5" s="235"/>
    </row>
    <row r="6" spans="1:18" ht="27.75" hidden="1" customHeight="1">
      <c r="A6" s="236"/>
      <c r="B6" s="237"/>
      <c r="C6" s="238"/>
      <c r="D6" s="239" t="s">
        <v>429</v>
      </c>
      <c r="E6" s="240">
        <v>500</v>
      </c>
      <c r="F6" s="241" t="s">
        <v>406</v>
      </c>
      <c r="G6" s="242" t="s">
        <v>407</v>
      </c>
      <c r="H6" s="242">
        <v>80</v>
      </c>
      <c r="I6" s="243" t="s">
        <v>408</v>
      </c>
      <c r="J6" s="243" t="s">
        <v>407</v>
      </c>
      <c r="K6" s="242">
        <v>365</v>
      </c>
      <c r="L6" s="243" t="s">
        <v>409</v>
      </c>
      <c r="M6" s="243" t="s">
        <v>410</v>
      </c>
      <c r="N6" s="244">
        <f>E6*H6*K6</f>
        <v>14600000</v>
      </c>
      <c r="O6" s="245">
        <f>N6</f>
        <v>14600000</v>
      </c>
      <c r="P6" s="235"/>
    </row>
    <row r="7" spans="1:18" ht="22.5" customHeight="1">
      <c r="A7" s="246"/>
      <c r="B7" s="247"/>
      <c r="C7" s="247"/>
      <c r="D7" s="239" t="s">
        <v>437</v>
      </c>
      <c r="E7" s="240">
        <v>500</v>
      </c>
      <c r="F7" s="241" t="s">
        <v>406</v>
      </c>
      <c r="G7" s="242" t="s">
        <v>407</v>
      </c>
      <c r="H7" s="242">
        <v>80</v>
      </c>
      <c r="I7" s="243" t="s">
        <v>408</v>
      </c>
      <c r="J7" s="243" t="s">
        <v>407</v>
      </c>
      <c r="K7" s="242">
        <v>31</v>
      </c>
      <c r="L7" s="243" t="s">
        <v>409</v>
      </c>
      <c r="M7" s="243" t="s">
        <v>410</v>
      </c>
      <c r="N7" s="244">
        <f>E7*H7*K7</f>
        <v>1240000</v>
      </c>
      <c r="O7" s="245">
        <f>N7</f>
        <v>1240000</v>
      </c>
      <c r="P7" s="235"/>
    </row>
    <row r="8" spans="1:18" ht="22.5" customHeight="1">
      <c r="A8" s="248"/>
      <c r="B8" s="249"/>
      <c r="C8" s="249"/>
      <c r="D8" s="239" t="s">
        <v>438</v>
      </c>
      <c r="E8" s="240">
        <v>500</v>
      </c>
      <c r="F8" s="241" t="s">
        <v>406</v>
      </c>
      <c r="G8" s="242" t="s">
        <v>407</v>
      </c>
      <c r="H8" s="242">
        <v>80</v>
      </c>
      <c r="I8" s="243" t="s">
        <v>408</v>
      </c>
      <c r="J8" s="243" t="s">
        <v>407</v>
      </c>
      <c r="K8" s="242">
        <v>28</v>
      </c>
      <c r="L8" s="243" t="s">
        <v>409</v>
      </c>
      <c r="M8" s="243" t="s">
        <v>410</v>
      </c>
      <c r="N8" s="244">
        <f>E8*H8*K8</f>
        <v>1120000</v>
      </c>
      <c r="O8" s="245">
        <f>N8</f>
        <v>1120000</v>
      </c>
      <c r="P8" s="235"/>
    </row>
    <row r="9" spans="1:18" ht="22.5" customHeight="1">
      <c r="A9" s="248"/>
      <c r="B9" s="249"/>
      <c r="C9" s="249"/>
      <c r="D9" s="239" t="s">
        <v>439</v>
      </c>
      <c r="E9" s="240">
        <v>500</v>
      </c>
      <c r="F9" s="241" t="s">
        <v>406</v>
      </c>
      <c r="G9" s="242" t="s">
        <v>407</v>
      </c>
      <c r="H9" s="242">
        <v>80</v>
      </c>
      <c r="I9" s="243" t="s">
        <v>408</v>
      </c>
      <c r="J9" s="243" t="s">
        <v>407</v>
      </c>
      <c r="K9" s="242">
        <v>31</v>
      </c>
      <c r="L9" s="243" t="s">
        <v>409</v>
      </c>
      <c r="M9" s="243" t="s">
        <v>410</v>
      </c>
      <c r="N9" s="244">
        <f>E9*H9*K9</f>
        <v>1240000</v>
      </c>
      <c r="O9" s="245">
        <f>N9</f>
        <v>1240000</v>
      </c>
      <c r="P9" s="235"/>
    </row>
    <row r="10" spans="1:18" ht="22.5" customHeight="1">
      <c r="A10" s="246"/>
      <c r="B10" s="247"/>
      <c r="C10" s="247"/>
      <c r="D10" s="239" t="s">
        <v>440</v>
      </c>
      <c r="E10" s="240">
        <v>500</v>
      </c>
      <c r="F10" s="241" t="s">
        <v>406</v>
      </c>
      <c r="G10" s="242" t="s">
        <v>407</v>
      </c>
      <c r="H10" s="242">
        <v>80</v>
      </c>
      <c r="I10" s="243" t="s">
        <v>408</v>
      </c>
      <c r="J10" s="243" t="s">
        <v>407</v>
      </c>
      <c r="K10" s="242">
        <v>30</v>
      </c>
      <c r="L10" s="243" t="s">
        <v>409</v>
      </c>
      <c r="M10" s="243" t="s">
        <v>410</v>
      </c>
      <c r="N10" s="244">
        <f t="shared" ref="N10:N15" si="0">E10*H10*K10</f>
        <v>1200000</v>
      </c>
      <c r="O10" s="245">
        <f t="shared" ref="O10:O18" si="1">N10</f>
        <v>1200000</v>
      </c>
      <c r="P10" s="235"/>
    </row>
    <row r="11" spans="1:18" ht="22.5" customHeight="1">
      <c r="A11" s="248"/>
      <c r="B11" s="249"/>
      <c r="C11" s="249"/>
      <c r="D11" s="239" t="s">
        <v>441</v>
      </c>
      <c r="E11" s="240">
        <v>500</v>
      </c>
      <c r="F11" s="241" t="s">
        <v>406</v>
      </c>
      <c r="G11" s="242" t="s">
        <v>407</v>
      </c>
      <c r="H11" s="242">
        <v>80</v>
      </c>
      <c r="I11" s="243" t="s">
        <v>408</v>
      </c>
      <c r="J11" s="243" t="s">
        <v>407</v>
      </c>
      <c r="K11" s="242">
        <v>31</v>
      </c>
      <c r="L11" s="243" t="s">
        <v>409</v>
      </c>
      <c r="M11" s="243" t="s">
        <v>410</v>
      </c>
      <c r="N11" s="244">
        <f t="shared" si="0"/>
        <v>1240000</v>
      </c>
      <c r="O11" s="245">
        <f t="shared" si="1"/>
        <v>1240000</v>
      </c>
      <c r="P11" s="235"/>
    </row>
    <row r="12" spans="1:18" ht="22.5" customHeight="1">
      <c r="A12" s="248"/>
      <c r="B12" s="249"/>
      <c r="C12" s="249"/>
      <c r="D12" s="239" t="s">
        <v>442</v>
      </c>
      <c r="E12" s="240">
        <v>500</v>
      </c>
      <c r="F12" s="241" t="s">
        <v>406</v>
      </c>
      <c r="G12" s="242" t="s">
        <v>407</v>
      </c>
      <c r="H12" s="242">
        <v>80</v>
      </c>
      <c r="I12" s="243" t="s">
        <v>408</v>
      </c>
      <c r="J12" s="243" t="s">
        <v>407</v>
      </c>
      <c r="K12" s="242">
        <v>30</v>
      </c>
      <c r="L12" s="243" t="s">
        <v>409</v>
      </c>
      <c r="M12" s="243" t="s">
        <v>410</v>
      </c>
      <c r="N12" s="244">
        <f t="shared" si="0"/>
        <v>1200000</v>
      </c>
      <c r="O12" s="245">
        <f t="shared" si="1"/>
        <v>1200000</v>
      </c>
      <c r="P12" s="235"/>
    </row>
    <row r="13" spans="1:18" ht="22.5" customHeight="1">
      <c r="A13" s="248"/>
      <c r="B13" s="249"/>
      <c r="C13" s="249"/>
      <c r="D13" s="239" t="s">
        <v>443</v>
      </c>
      <c r="E13" s="240">
        <v>500</v>
      </c>
      <c r="F13" s="241" t="s">
        <v>406</v>
      </c>
      <c r="G13" s="242" t="s">
        <v>407</v>
      </c>
      <c r="H13" s="242">
        <v>80</v>
      </c>
      <c r="I13" s="243" t="s">
        <v>408</v>
      </c>
      <c r="J13" s="243" t="s">
        <v>407</v>
      </c>
      <c r="K13" s="242">
        <v>31</v>
      </c>
      <c r="L13" s="243" t="s">
        <v>409</v>
      </c>
      <c r="M13" s="243" t="s">
        <v>410</v>
      </c>
      <c r="N13" s="244">
        <f t="shared" si="0"/>
        <v>1240000</v>
      </c>
      <c r="O13" s="245">
        <f t="shared" si="1"/>
        <v>1240000</v>
      </c>
      <c r="P13" s="235"/>
    </row>
    <row r="14" spans="1:18" ht="22.5" customHeight="1">
      <c r="A14" s="248"/>
      <c r="B14" s="249"/>
      <c r="C14" s="249"/>
      <c r="D14" s="239" t="s">
        <v>444</v>
      </c>
      <c r="E14" s="240">
        <v>500</v>
      </c>
      <c r="F14" s="241" t="s">
        <v>406</v>
      </c>
      <c r="G14" s="242" t="s">
        <v>407</v>
      </c>
      <c r="H14" s="242">
        <v>80</v>
      </c>
      <c r="I14" s="243" t="s">
        <v>408</v>
      </c>
      <c r="J14" s="243" t="s">
        <v>407</v>
      </c>
      <c r="K14" s="242">
        <v>31</v>
      </c>
      <c r="L14" s="243" t="s">
        <v>409</v>
      </c>
      <c r="M14" s="243" t="s">
        <v>410</v>
      </c>
      <c r="N14" s="244">
        <f t="shared" si="0"/>
        <v>1240000</v>
      </c>
      <c r="O14" s="245">
        <f t="shared" si="1"/>
        <v>1240000</v>
      </c>
      <c r="P14" s="235"/>
    </row>
    <row r="15" spans="1:18" ht="22.5" customHeight="1">
      <c r="A15" s="248"/>
      <c r="B15" s="249"/>
      <c r="C15" s="249"/>
      <c r="D15" s="239" t="s">
        <v>445</v>
      </c>
      <c r="E15" s="240">
        <v>500</v>
      </c>
      <c r="F15" s="241" t="s">
        <v>406</v>
      </c>
      <c r="G15" s="242" t="s">
        <v>407</v>
      </c>
      <c r="H15" s="242">
        <v>80</v>
      </c>
      <c r="I15" s="243" t="s">
        <v>408</v>
      </c>
      <c r="J15" s="243" t="s">
        <v>407</v>
      </c>
      <c r="K15" s="242">
        <v>30</v>
      </c>
      <c r="L15" s="243" t="s">
        <v>409</v>
      </c>
      <c r="M15" s="243" t="s">
        <v>410</v>
      </c>
      <c r="N15" s="244">
        <f t="shared" si="0"/>
        <v>1200000</v>
      </c>
      <c r="O15" s="245">
        <f t="shared" si="1"/>
        <v>1200000</v>
      </c>
      <c r="P15" s="235"/>
    </row>
    <row r="16" spans="1:18" ht="22.5" customHeight="1">
      <c r="A16" s="248"/>
      <c r="B16" s="249"/>
      <c r="C16" s="249"/>
      <c r="D16" s="239" t="s">
        <v>446</v>
      </c>
      <c r="E16" s="240">
        <v>500</v>
      </c>
      <c r="F16" s="241" t="s">
        <v>406</v>
      </c>
      <c r="G16" s="242" t="s">
        <v>407</v>
      </c>
      <c r="H16" s="242">
        <v>80</v>
      </c>
      <c r="I16" s="243" t="s">
        <v>408</v>
      </c>
      <c r="J16" s="243" t="s">
        <v>407</v>
      </c>
      <c r="K16" s="242">
        <v>31</v>
      </c>
      <c r="L16" s="243" t="s">
        <v>409</v>
      </c>
      <c r="M16" s="243" t="s">
        <v>410</v>
      </c>
      <c r="N16" s="244">
        <f>E16*H16*K16</f>
        <v>1240000</v>
      </c>
      <c r="O16" s="245">
        <f t="shared" si="1"/>
        <v>1240000</v>
      </c>
      <c r="P16" s="235"/>
    </row>
    <row r="17" spans="1:16" ht="22.5" customHeight="1">
      <c r="A17" s="248"/>
      <c r="B17" s="249"/>
      <c r="C17" s="249"/>
      <c r="D17" s="239" t="s">
        <v>447</v>
      </c>
      <c r="E17" s="240">
        <v>500</v>
      </c>
      <c r="F17" s="241" t="s">
        <v>406</v>
      </c>
      <c r="G17" s="242" t="s">
        <v>407</v>
      </c>
      <c r="H17" s="242">
        <v>80</v>
      </c>
      <c r="I17" s="243" t="s">
        <v>408</v>
      </c>
      <c r="J17" s="243" t="s">
        <v>407</v>
      </c>
      <c r="K17" s="242">
        <v>30</v>
      </c>
      <c r="L17" s="243" t="s">
        <v>409</v>
      </c>
      <c r="M17" s="243" t="s">
        <v>410</v>
      </c>
      <c r="N17" s="244">
        <f>E17*H17*K17</f>
        <v>1200000</v>
      </c>
      <c r="O17" s="245">
        <f t="shared" si="1"/>
        <v>1200000</v>
      </c>
      <c r="P17" s="235"/>
    </row>
    <row r="18" spans="1:16" ht="22.5" customHeight="1">
      <c r="A18" s="250"/>
      <c r="B18" s="251"/>
      <c r="C18" s="251"/>
      <c r="D18" s="239" t="s">
        <v>448</v>
      </c>
      <c r="E18" s="240">
        <v>500</v>
      </c>
      <c r="F18" s="241" t="s">
        <v>406</v>
      </c>
      <c r="G18" s="242" t="s">
        <v>407</v>
      </c>
      <c r="H18" s="242">
        <v>80</v>
      </c>
      <c r="I18" s="243" t="s">
        <v>408</v>
      </c>
      <c r="J18" s="243" t="s">
        <v>407</v>
      </c>
      <c r="K18" s="242">
        <v>31</v>
      </c>
      <c r="L18" s="243" t="s">
        <v>409</v>
      </c>
      <c r="M18" s="243" t="s">
        <v>410</v>
      </c>
      <c r="N18" s="244">
        <f>E18*H18*K18</f>
        <v>1240000</v>
      </c>
      <c r="O18" s="245">
        <f t="shared" si="1"/>
        <v>1240000</v>
      </c>
      <c r="P18" s="235"/>
    </row>
    <row r="19" spans="1:16" ht="27.75" customHeight="1">
      <c r="A19" s="232" t="s">
        <v>449</v>
      </c>
      <c r="B19" s="233" t="s">
        <v>449</v>
      </c>
      <c r="C19" s="233" t="s">
        <v>449</v>
      </c>
      <c r="D19" s="1488" t="s">
        <v>309</v>
      </c>
      <c r="E19" s="1497"/>
      <c r="F19" s="1497"/>
      <c r="G19" s="1497"/>
      <c r="H19" s="1497"/>
      <c r="I19" s="1497"/>
      <c r="J19" s="1497"/>
      <c r="K19" s="1497"/>
      <c r="L19" s="1497"/>
      <c r="M19" s="1497"/>
      <c r="N19" s="1498"/>
      <c r="O19" s="234">
        <f>SUM(O21:O32)</f>
        <v>4800000</v>
      </c>
      <c r="P19" s="235"/>
    </row>
    <row r="20" spans="1:16" ht="27.75" hidden="1" customHeight="1">
      <c r="A20" s="252"/>
      <c r="B20" s="253"/>
      <c r="C20" s="254"/>
      <c r="D20" s="239" t="s">
        <v>429</v>
      </c>
      <c r="E20" s="240">
        <v>5000</v>
      </c>
      <c r="F20" s="241" t="s">
        <v>406</v>
      </c>
      <c r="G20" s="242" t="s">
        <v>407</v>
      </c>
      <c r="H20" s="242">
        <v>80</v>
      </c>
      <c r="I20" s="243" t="s">
        <v>408</v>
      </c>
      <c r="J20" s="243" t="s">
        <v>407</v>
      </c>
      <c r="K20" s="242">
        <v>12</v>
      </c>
      <c r="L20" s="243" t="s">
        <v>411</v>
      </c>
      <c r="M20" s="243" t="s">
        <v>410</v>
      </c>
      <c r="N20" s="244">
        <f>E20*H20*K20</f>
        <v>4800000</v>
      </c>
      <c r="O20" s="245">
        <f>N20</f>
        <v>4800000</v>
      </c>
      <c r="P20" s="235"/>
    </row>
    <row r="21" spans="1:16" ht="22.5" customHeight="1">
      <c r="A21" s="246"/>
      <c r="B21" s="247"/>
      <c r="C21" s="247"/>
      <c r="D21" s="239" t="s">
        <v>437</v>
      </c>
      <c r="E21" s="240">
        <v>5000</v>
      </c>
      <c r="F21" s="241" t="s">
        <v>406</v>
      </c>
      <c r="G21" s="242" t="s">
        <v>407</v>
      </c>
      <c r="H21" s="242">
        <v>80</v>
      </c>
      <c r="I21" s="243" t="s">
        <v>408</v>
      </c>
      <c r="J21" s="243" t="s">
        <v>407</v>
      </c>
      <c r="K21" s="242">
        <v>1</v>
      </c>
      <c r="L21" s="243" t="s">
        <v>411</v>
      </c>
      <c r="M21" s="243" t="s">
        <v>410</v>
      </c>
      <c r="N21" s="244">
        <f>E21*H21*K21</f>
        <v>400000</v>
      </c>
      <c r="O21" s="245">
        <f>N21</f>
        <v>400000</v>
      </c>
      <c r="P21" s="235"/>
    </row>
    <row r="22" spans="1:16" ht="22.5" customHeight="1">
      <c r="A22" s="248"/>
      <c r="B22" s="249"/>
      <c r="C22" s="249"/>
      <c r="D22" s="239" t="s">
        <v>438</v>
      </c>
      <c r="E22" s="240">
        <v>5000</v>
      </c>
      <c r="F22" s="241" t="s">
        <v>406</v>
      </c>
      <c r="G22" s="242" t="s">
        <v>407</v>
      </c>
      <c r="H22" s="242">
        <v>80</v>
      </c>
      <c r="I22" s="243" t="s">
        <v>408</v>
      </c>
      <c r="J22" s="243" t="s">
        <v>407</v>
      </c>
      <c r="K22" s="242">
        <v>1</v>
      </c>
      <c r="L22" s="243" t="s">
        <v>411</v>
      </c>
      <c r="M22" s="243" t="s">
        <v>410</v>
      </c>
      <c r="N22" s="244">
        <f>E22*H22*K22</f>
        <v>400000</v>
      </c>
      <c r="O22" s="245">
        <f>N22</f>
        <v>400000</v>
      </c>
      <c r="P22" s="235"/>
    </row>
    <row r="23" spans="1:16" ht="22.5" customHeight="1">
      <c r="A23" s="248"/>
      <c r="B23" s="249"/>
      <c r="C23" s="249"/>
      <c r="D23" s="239" t="s">
        <v>439</v>
      </c>
      <c r="E23" s="240">
        <v>5000</v>
      </c>
      <c r="F23" s="241" t="s">
        <v>406</v>
      </c>
      <c r="G23" s="242" t="s">
        <v>407</v>
      </c>
      <c r="H23" s="242">
        <v>80</v>
      </c>
      <c r="I23" s="243" t="s">
        <v>408</v>
      </c>
      <c r="J23" s="243" t="s">
        <v>407</v>
      </c>
      <c r="K23" s="242">
        <v>1</v>
      </c>
      <c r="L23" s="243" t="s">
        <v>411</v>
      </c>
      <c r="M23" s="243" t="s">
        <v>410</v>
      </c>
      <c r="N23" s="244">
        <f>E23*H23*K23</f>
        <v>400000</v>
      </c>
      <c r="O23" s="245">
        <f>N23</f>
        <v>400000</v>
      </c>
      <c r="P23" s="235"/>
    </row>
    <row r="24" spans="1:16" ht="22.5" customHeight="1">
      <c r="A24" s="246"/>
      <c r="B24" s="247"/>
      <c r="C24" s="247"/>
      <c r="D24" s="239" t="s">
        <v>440</v>
      </c>
      <c r="E24" s="240">
        <v>5000</v>
      </c>
      <c r="F24" s="241" t="s">
        <v>406</v>
      </c>
      <c r="G24" s="242" t="s">
        <v>407</v>
      </c>
      <c r="H24" s="242">
        <v>80</v>
      </c>
      <c r="I24" s="243" t="s">
        <v>408</v>
      </c>
      <c r="J24" s="243" t="s">
        <v>407</v>
      </c>
      <c r="K24" s="242">
        <v>1</v>
      </c>
      <c r="L24" s="243" t="s">
        <v>411</v>
      </c>
      <c r="M24" s="243" t="s">
        <v>410</v>
      </c>
      <c r="N24" s="244">
        <f t="shared" ref="N24:N29" si="2">E24*H24*K24</f>
        <v>400000</v>
      </c>
      <c r="O24" s="245">
        <f t="shared" ref="O24:O32" si="3">N24</f>
        <v>400000</v>
      </c>
      <c r="P24" s="235"/>
    </row>
    <row r="25" spans="1:16" ht="22.5" customHeight="1">
      <c r="A25" s="248"/>
      <c r="B25" s="249"/>
      <c r="C25" s="249"/>
      <c r="D25" s="239" t="s">
        <v>441</v>
      </c>
      <c r="E25" s="240">
        <v>5000</v>
      </c>
      <c r="F25" s="241" t="s">
        <v>406</v>
      </c>
      <c r="G25" s="242" t="s">
        <v>407</v>
      </c>
      <c r="H25" s="242">
        <v>80</v>
      </c>
      <c r="I25" s="243" t="s">
        <v>408</v>
      </c>
      <c r="J25" s="243" t="s">
        <v>407</v>
      </c>
      <c r="K25" s="242">
        <v>1</v>
      </c>
      <c r="L25" s="243" t="s">
        <v>411</v>
      </c>
      <c r="M25" s="243" t="s">
        <v>410</v>
      </c>
      <c r="N25" s="244">
        <f t="shared" si="2"/>
        <v>400000</v>
      </c>
      <c r="O25" s="245">
        <f t="shared" si="3"/>
        <v>400000</v>
      </c>
      <c r="P25" s="235"/>
    </row>
    <row r="26" spans="1:16" ht="22.5" customHeight="1">
      <c r="A26" s="248"/>
      <c r="B26" s="249"/>
      <c r="C26" s="249"/>
      <c r="D26" s="239" t="s">
        <v>442</v>
      </c>
      <c r="E26" s="240">
        <v>5000</v>
      </c>
      <c r="F26" s="241" t="s">
        <v>406</v>
      </c>
      <c r="G26" s="242" t="s">
        <v>407</v>
      </c>
      <c r="H26" s="242">
        <v>80</v>
      </c>
      <c r="I26" s="243" t="s">
        <v>408</v>
      </c>
      <c r="J26" s="243" t="s">
        <v>407</v>
      </c>
      <c r="K26" s="242">
        <v>1</v>
      </c>
      <c r="L26" s="243" t="s">
        <v>411</v>
      </c>
      <c r="M26" s="243" t="s">
        <v>410</v>
      </c>
      <c r="N26" s="244">
        <f t="shared" si="2"/>
        <v>400000</v>
      </c>
      <c r="O26" s="245">
        <f t="shared" si="3"/>
        <v>400000</v>
      </c>
      <c r="P26" s="235"/>
    </row>
    <row r="27" spans="1:16" ht="22.5" customHeight="1">
      <c r="A27" s="248"/>
      <c r="B27" s="249"/>
      <c r="C27" s="249"/>
      <c r="D27" s="239" t="s">
        <v>443</v>
      </c>
      <c r="E27" s="240">
        <v>5000</v>
      </c>
      <c r="F27" s="241" t="s">
        <v>406</v>
      </c>
      <c r="G27" s="242" t="s">
        <v>407</v>
      </c>
      <c r="H27" s="242">
        <v>80</v>
      </c>
      <c r="I27" s="243" t="s">
        <v>408</v>
      </c>
      <c r="J27" s="243" t="s">
        <v>407</v>
      </c>
      <c r="K27" s="242">
        <v>1</v>
      </c>
      <c r="L27" s="243" t="s">
        <v>411</v>
      </c>
      <c r="M27" s="243" t="s">
        <v>410</v>
      </c>
      <c r="N27" s="244">
        <f t="shared" si="2"/>
        <v>400000</v>
      </c>
      <c r="O27" s="245">
        <f t="shared" si="3"/>
        <v>400000</v>
      </c>
      <c r="P27" s="235"/>
    </row>
    <row r="28" spans="1:16" ht="22.5" customHeight="1">
      <c r="A28" s="248"/>
      <c r="B28" s="249"/>
      <c r="C28" s="249"/>
      <c r="D28" s="239" t="s">
        <v>444</v>
      </c>
      <c r="E28" s="240">
        <v>5000</v>
      </c>
      <c r="F28" s="241" t="s">
        <v>406</v>
      </c>
      <c r="G28" s="242" t="s">
        <v>407</v>
      </c>
      <c r="H28" s="242">
        <v>80</v>
      </c>
      <c r="I28" s="243" t="s">
        <v>408</v>
      </c>
      <c r="J28" s="243" t="s">
        <v>407</v>
      </c>
      <c r="K28" s="242">
        <v>1</v>
      </c>
      <c r="L28" s="243" t="s">
        <v>411</v>
      </c>
      <c r="M28" s="243" t="s">
        <v>410</v>
      </c>
      <c r="N28" s="244">
        <f t="shared" si="2"/>
        <v>400000</v>
      </c>
      <c r="O28" s="245">
        <f t="shared" si="3"/>
        <v>400000</v>
      </c>
      <c r="P28" s="235"/>
    </row>
    <row r="29" spans="1:16" ht="22.5" customHeight="1">
      <c r="A29" s="248"/>
      <c r="B29" s="249"/>
      <c r="C29" s="249"/>
      <c r="D29" s="239" t="s">
        <v>445</v>
      </c>
      <c r="E29" s="240">
        <v>5000</v>
      </c>
      <c r="F29" s="241" t="s">
        <v>406</v>
      </c>
      <c r="G29" s="242" t="s">
        <v>407</v>
      </c>
      <c r="H29" s="242">
        <v>80</v>
      </c>
      <c r="I29" s="243" t="s">
        <v>408</v>
      </c>
      <c r="J29" s="243" t="s">
        <v>407</v>
      </c>
      <c r="K29" s="242">
        <v>1</v>
      </c>
      <c r="L29" s="243" t="s">
        <v>411</v>
      </c>
      <c r="M29" s="243" t="s">
        <v>410</v>
      </c>
      <c r="N29" s="244">
        <f t="shared" si="2"/>
        <v>400000</v>
      </c>
      <c r="O29" s="245">
        <f t="shared" si="3"/>
        <v>400000</v>
      </c>
      <c r="P29" s="235"/>
    </row>
    <row r="30" spans="1:16" ht="22.5" customHeight="1">
      <c r="A30" s="255"/>
      <c r="B30" s="249"/>
      <c r="C30" s="256"/>
      <c r="D30" s="239" t="s">
        <v>446</v>
      </c>
      <c r="E30" s="240">
        <v>5000</v>
      </c>
      <c r="F30" s="241" t="s">
        <v>406</v>
      </c>
      <c r="G30" s="242" t="s">
        <v>407</v>
      </c>
      <c r="H30" s="242">
        <v>80</v>
      </c>
      <c r="I30" s="243" t="s">
        <v>408</v>
      </c>
      <c r="J30" s="243" t="s">
        <v>407</v>
      </c>
      <c r="K30" s="242">
        <v>1</v>
      </c>
      <c r="L30" s="243" t="s">
        <v>411</v>
      </c>
      <c r="M30" s="243" t="s">
        <v>410</v>
      </c>
      <c r="N30" s="244">
        <f>E30*H30*K30</f>
        <v>400000</v>
      </c>
      <c r="O30" s="245">
        <f t="shared" si="3"/>
        <v>400000</v>
      </c>
      <c r="P30" s="235"/>
    </row>
    <row r="31" spans="1:16" ht="22.5" customHeight="1">
      <c r="A31" s="255"/>
      <c r="B31" s="249"/>
      <c r="C31" s="256"/>
      <c r="D31" s="239" t="s">
        <v>447</v>
      </c>
      <c r="E31" s="240">
        <v>5000</v>
      </c>
      <c r="F31" s="241" t="s">
        <v>406</v>
      </c>
      <c r="G31" s="242" t="s">
        <v>407</v>
      </c>
      <c r="H31" s="242">
        <v>80</v>
      </c>
      <c r="I31" s="243" t="s">
        <v>408</v>
      </c>
      <c r="J31" s="243" t="s">
        <v>407</v>
      </c>
      <c r="K31" s="242">
        <v>1</v>
      </c>
      <c r="L31" s="243" t="s">
        <v>411</v>
      </c>
      <c r="M31" s="243" t="s">
        <v>410</v>
      </c>
      <c r="N31" s="244">
        <f>E31*H31*K31</f>
        <v>400000</v>
      </c>
      <c r="O31" s="245">
        <f t="shared" si="3"/>
        <v>400000</v>
      </c>
      <c r="P31" s="235"/>
    </row>
    <row r="32" spans="1:16" ht="22.5" customHeight="1">
      <c r="A32" s="257"/>
      <c r="B32" s="251"/>
      <c r="C32" s="258"/>
      <c r="D32" s="239" t="s">
        <v>448</v>
      </c>
      <c r="E32" s="240">
        <v>5000</v>
      </c>
      <c r="F32" s="241" t="s">
        <v>406</v>
      </c>
      <c r="G32" s="242" t="s">
        <v>407</v>
      </c>
      <c r="H32" s="242">
        <v>80</v>
      </c>
      <c r="I32" s="243" t="s">
        <v>408</v>
      </c>
      <c r="J32" s="243" t="s">
        <v>407</v>
      </c>
      <c r="K32" s="242">
        <v>1</v>
      </c>
      <c r="L32" s="243" t="s">
        <v>411</v>
      </c>
      <c r="M32" s="243" t="s">
        <v>410</v>
      </c>
      <c r="N32" s="244">
        <f>E32*H32*K32</f>
        <v>400000</v>
      </c>
      <c r="O32" s="245">
        <f t="shared" si="3"/>
        <v>400000</v>
      </c>
      <c r="P32" s="235"/>
    </row>
    <row r="33" spans="1:16" ht="27.75" customHeight="1">
      <c r="A33" s="259" t="s">
        <v>450</v>
      </c>
      <c r="B33" s="260" t="s">
        <v>450</v>
      </c>
      <c r="C33" s="261" t="s">
        <v>450</v>
      </c>
      <c r="D33" s="1488" t="s">
        <v>309</v>
      </c>
      <c r="E33" s="1497"/>
      <c r="F33" s="1497"/>
      <c r="G33" s="1497"/>
      <c r="H33" s="1497"/>
      <c r="I33" s="1497"/>
      <c r="J33" s="1497"/>
      <c r="K33" s="1497"/>
      <c r="L33" s="1497"/>
      <c r="M33" s="1497"/>
      <c r="N33" s="1498"/>
      <c r="O33" s="234">
        <f>SUM(O36:O39)</f>
        <v>10240000</v>
      </c>
      <c r="P33" s="235"/>
    </row>
    <row r="34" spans="1:16" ht="27.75" customHeight="1">
      <c r="A34" s="262"/>
      <c r="B34" s="263"/>
      <c r="C34" s="264"/>
      <c r="D34" s="239" t="s">
        <v>342</v>
      </c>
      <c r="E34" s="240">
        <v>20000</v>
      </c>
      <c r="F34" s="241" t="s">
        <v>406</v>
      </c>
      <c r="G34" s="242" t="s">
        <v>407</v>
      </c>
      <c r="H34" s="242">
        <v>80</v>
      </c>
      <c r="I34" s="243" t="s">
        <v>408</v>
      </c>
      <c r="J34" s="243" t="s">
        <v>407</v>
      </c>
      <c r="K34" s="242">
        <v>4</v>
      </c>
      <c r="L34" s="243" t="s">
        <v>413</v>
      </c>
      <c r="M34" s="243" t="s">
        <v>410</v>
      </c>
      <c r="N34" s="244">
        <f t="shared" ref="N34:N39" si="4">E34*H34*K34</f>
        <v>6400000</v>
      </c>
      <c r="O34" s="245">
        <f t="shared" ref="O34:O39" si="5">N34</f>
        <v>6400000</v>
      </c>
      <c r="P34" s="235"/>
    </row>
    <row r="35" spans="1:16" ht="27.75" customHeight="1">
      <c r="A35" s="262"/>
      <c r="B35" s="263"/>
      <c r="C35" s="264"/>
      <c r="D35" s="265" t="s">
        <v>451</v>
      </c>
      <c r="E35" s="240">
        <v>12000</v>
      </c>
      <c r="F35" s="241" t="s">
        <v>406</v>
      </c>
      <c r="G35" s="242" t="s">
        <v>407</v>
      </c>
      <c r="H35" s="242">
        <v>80</v>
      </c>
      <c r="I35" s="243" t="s">
        <v>408</v>
      </c>
      <c r="J35" s="243" t="s">
        <v>407</v>
      </c>
      <c r="K35" s="242">
        <v>4</v>
      </c>
      <c r="L35" s="243" t="s">
        <v>413</v>
      </c>
      <c r="M35" s="243" t="s">
        <v>410</v>
      </c>
      <c r="N35" s="244">
        <f t="shared" si="4"/>
        <v>3840000</v>
      </c>
      <c r="O35" s="245">
        <f t="shared" si="5"/>
        <v>3840000</v>
      </c>
      <c r="P35" s="235"/>
    </row>
    <row r="36" spans="1:16" ht="22.5" hidden="1" customHeight="1">
      <c r="A36" s="232"/>
      <c r="B36" s="233"/>
      <c r="C36" s="233"/>
      <c r="D36" s="239" t="s">
        <v>452</v>
      </c>
      <c r="E36" s="240">
        <v>32000</v>
      </c>
      <c r="F36" s="241" t="s">
        <v>406</v>
      </c>
      <c r="G36" s="242" t="s">
        <v>407</v>
      </c>
      <c r="H36" s="242">
        <v>80</v>
      </c>
      <c r="I36" s="243" t="s">
        <v>408</v>
      </c>
      <c r="J36" s="243" t="s">
        <v>407</v>
      </c>
      <c r="K36" s="242">
        <v>1</v>
      </c>
      <c r="L36" s="243" t="s">
        <v>413</v>
      </c>
      <c r="M36" s="243" t="s">
        <v>410</v>
      </c>
      <c r="N36" s="244">
        <f t="shared" si="4"/>
        <v>2560000</v>
      </c>
      <c r="O36" s="245">
        <f t="shared" si="5"/>
        <v>2560000</v>
      </c>
      <c r="P36" s="235"/>
    </row>
    <row r="37" spans="1:16" ht="22.5" hidden="1" customHeight="1">
      <c r="A37" s="232"/>
      <c r="B37" s="233"/>
      <c r="C37" s="233"/>
      <c r="D37" s="265" t="s">
        <v>453</v>
      </c>
      <c r="E37" s="240">
        <v>32000</v>
      </c>
      <c r="F37" s="241" t="s">
        <v>406</v>
      </c>
      <c r="G37" s="242" t="s">
        <v>407</v>
      </c>
      <c r="H37" s="242">
        <v>80</v>
      </c>
      <c r="I37" s="243" t="s">
        <v>408</v>
      </c>
      <c r="J37" s="243" t="s">
        <v>407</v>
      </c>
      <c r="K37" s="242">
        <v>1</v>
      </c>
      <c r="L37" s="243" t="s">
        <v>413</v>
      </c>
      <c r="M37" s="243" t="s">
        <v>410</v>
      </c>
      <c r="N37" s="244">
        <f t="shared" si="4"/>
        <v>2560000</v>
      </c>
      <c r="O37" s="245">
        <f t="shared" si="5"/>
        <v>2560000</v>
      </c>
      <c r="P37" s="235"/>
    </row>
    <row r="38" spans="1:16" ht="22.5" hidden="1" customHeight="1">
      <c r="A38" s="232"/>
      <c r="B38" s="233"/>
      <c r="C38" s="233"/>
      <c r="D38" s="239" t="s">
        <v>454</v>
      </c>
      <c r="E38" s="240">
        <v>32000</v>
      </c>
      <c r="F38" s="241" t="s">
        <v>406</v>
      </c>
      <c r="G38" s="242" t="s">
        <v>407</v>
      </c>
      <c r="H38" s="242">
        <v>80</v>
      </c>
      <c r="I38" s="243" t="s">
        <v>408</v>
      </c>
      <c r="J38" s="243" t="s">
        <v>407</v>
      </c>
      <c r="K38" s="242">
        <v>1</v>
      </c>
      <c r="L38" s="243" t="s">
        <v>413</v>
      </c>
      <c r="M38" s="243" t="s">
        <v>410</v>
      </c>
      <c r="N38" s="244">
        <f t="shared" si="4"/>
        <v>2560000</v>
      </c>
      <c r="O38" s="245">
        <f t="shared" si="5"/>
        <v>2560000</v>
      </c>
      <c r="P38" s="235"/>
    </row>
    <row r="39" spans="1:16" ht="22.5" hidden="1" customHeight="1">
      <c r="A39" s="232"/>
      <c r="B39" s="233"/>
      <c r="C39" s="233"/>
      <c r="D39" s="239" t="s">
        <v>455</v>
      </c>
      <c r="E39" s="240">
        <v>32000</v>
      </c>
      <c r="F39" s="241" t="s">
        <v>406</v>
      </c>
      <c r="G39" s="242" t="s">
        <v>407</v>
      </c>
      <c r="H39" s="242">
        <v>80</v>
      </c>
      <c r="I39" s="243" t="s">
        <v>408</v>
      </c>
      <c r="J39" s="243" t="s">
        <v>407</v>
      </c>
      <c r="K39" s="242">
        <v>1</v>
      </c>
      <c r="L39" s="243" t="s">
        <v>413</v>
      </c>
      <c r="M39" s="243" t="s">
        <v>410</v>
      </c>
      <c r="N39" s="244">
        <f t="shared" si="4"/>
        <v>2560000</v>
      </c>
      <c r="O39" s="245">
        <f t="shared" si="5"/>
        <v>2560000</v>
      </c>
      <c r="P39" s="235"/>
    </row>
    <row r="40" spans="1:16" ht="27.75" customHeight="1">
      <c r="A40" s="266" t="s">
        <v>456</v>
      </c>
      <c r="B40" s="267" t="s">
        <v>456</v>
      </c>
      <c r="C40" s="267" t="s">
        <v>456</v>
      </c>
      <c r="D40" s="1488" t="s">
        <v>309</v>
      </c>
      <c r="E40" s="1489"/>
      <c r="F40" s="1489"/>
      <c r="G40" s="1489"/>
      <c r="H40" s="1489"/>
      <c r="I40" s="1489"/>
      <c r="J40" s="1489"/>
      <c r="K40" s="1489"/>
      <c r="L40" s="1489"/>
      <c r="M40" s="1489"/>
      <c r="N40" s="1490"/>
      <c r="O40" s="234">
        <f>O41</f>
        <v>3200000</v>
      </c>
      <c r="P40" s="235"/>
    </row>
    <row r="41" spans="1:16" ht="22.5" customHeight="1">
      <c r="A41" s="268"/>
      <c r="B41" s="269"/>
      <c r="C41" s="270"/>
      <c r="D41" s="271" t="s">
        <v>457</v>
      </c>
      <c r="E41" s="272">
        <v>40000</v>
      </c>
      <c r="F41" s="273" t="s">
        <v>406</v>
      </c>
      <c r="G41" s="274" t="s">
        <v>407</v>
      </c>
      <c r="H41" s="274">
        <v>80</v>
      </c>
      <c r="I41" s="275" t="s">
        <v>408</v>
      </c>
      <c r="J41" s="275" t="s">
        <v>407</v>
      </c>
      <c r="K41" s="274">
        <v>1</v>
      </c>
      <c r="L41" s="275" t="s">
        <v>413</v>
      </c>
      <c r="M41" s="275" t="s">
        <v>410</v>
      </c>
      <c r="N41" s="276">
        <f>E41*H41*K41</f>
        <v>3200000</v>
      </c>
      <c r="O41" s="277">
        <f>N41</f>
        <v>3200000</v>
      </c>
      <c r="P41" s="278"/>
    </row>
    <row r="67" spans="5:5" hidden="1">
      <c r="E67" s="208">
        <v>0</v>
      </c>
    </row>
    <row r="73" spans="5:5" hidden="1"/>
  </sheetData>
  <mergeCells count="7">
    <mergeCell ref="D40:N40"/>
    <mergeCell ref="A1:P1"/>
    <mergeCell ref="D3:N3"/>
    <mergeCell ref="A4:N4"/>
    <mergeCell ref="D5:N5"/>
    <mergeCell ref="D19:N19"/>
    <mergeCell ref="D33:N33"/>
  </mergeCells>
  <phoneticPr fontId="7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10"/>
  <sheetViews>
    <sheetView topLeftCell="A25" workbookViewId="0">
      <selection activeCell="W43" sqref="W43"/>
    </sheetView>
  </sheetViews>
  <sheetFormatPr defaultRowHeight="13.5"/>
  <cols>
    <col min="1" max="1" width="6.125" style="416" customWidth="1"/>
    <col min="2" max="2" width="7.875" style="52" customWidth="1"/>
    <col min="3" max="3" width="10" style="416" customWidth="1"/>
    <col min="4" max="4" width="9.875" style="416" customWidth="1"/>
    <col min="5" max="5" width="12.875" style="417" customWidth="1"/>
    <col min="6" max="6" width="13.125" style="416" customWidth="1"/>
    <col min="7" max="7" width="12.875" style="418" customWidth="1"/>
    <col min="8" max="8" width="6.5" style="416" customWidth="1"/>
    <col min="9" max="9" width="12" style="416" bestFit="1" customWidth="1"/>
    <col min="10" max="10" width="1.625" style="419" customWidth="1"/>
    <col min="11" max="11" width="2.25" style="419" customWidth="1"/>
    <col min="12" max="12" width="2.5" style="419" customWidth="1"/>
    <col min="13" max="13" width="1.625" style="419" customWidth="1"/>
    <col min="14" max="14" width="2.875" style="419" customWidth="1"/>
    <col min="15" max="16" width="1.875" style="419" customWidth="1"/>
    <col min="17" max="17" width="9.25" style="416" customWidth="1"/>
    <col min="18" max="18" width="3.625" style="419" customWidth="1"/>
    <col min="19" max="19" width="10" style="416" hidden="1" customWidth="1"/>
    <col min="20" max="20" width="13" style="41" hidden="1" customWidth="1"/>
    <col min="21" max="21" width="14.125" style="416" hidden="1" customWidth="1"/>
    <col min="22" max="22" width="15.375" style="416" customWidth="1"/>
    <col min="23" max="23" width="11.75" style="416" customWidth="1"/>
    <col min="24" max="24" width="12.875" style="416" customWidth="1"/>
    <col min="25" max="25" width="18.875" style="416" customWidth="1"/>
    <col min="26" max="26" width="21.375" style="416" customWidth="1"/>
    <col min="27" max="37" width="9" style="416"/>
    <col min="38" max="16384" width="9" style="123"/>
  </cols>
  <sheetData>
    <row r="1" spans="1:37" s="55" customFormat="1" ht="22.5" customHeight="1">
      <c r="A1" s="326" t="s">
        <v>560</v>
      </c>
      <c r="B1" s="326"/>
      <c r="C1" s="357"/>
      <c r="D1" s="358"/>
      <c r="G1" s="359"/>
      <c r="T1" s="35"/>
    </row>
    <row r="2" spans="1:37" s="59" customFormat="1" ht="16.5" customHeight="1">
      <c r="A2" s="1510" t="s">
        <v>561</v>
      </c>
      <c r="B2" s="1510"/>
      <c r="C2" s="1510"/>
      <c r="D2" s="1510"/>
      <c r="E2" s="360"/>
      <c r="F2" s="361"/>
      <c r="G2" s="362"/>
      <c r="H2" s="361"/>
      <c r="I2" s="361"/>
      <c r="J2" s="363"/>
      <c r="K2" s="363"/>
      <c r="L2" s="363"/>
      <c r="M2" s="363"/>
      <c r="N2" s="363"/>
      <c r="O2" s="363"/>
      <c r="P2" s="363"/>
      <c r="Q2" s="361"/>
      <c r="R2" s="363"/>
      <c r="S2" s="361"/>
      <c r="U2" s="361"/>
      <c r="V2" s="361"/>
      <c r="W2" s="361"/>
      <c r="X2" s="361"/>
      <c r="Y2" s="361"/>
      <c r="Z2" s="361"/>
      <c r="AA2" s="361"/>
      <c r="AB2" s="361"/>
      <c r="AC2" s="361"/>
      <c r="AD2" s="361"/>
      <c r="AE2" s="361"/>
      <c r="AF2" s="361"/>
      <c r="AG2" s="361"/>
      <c r="AH2" s="361"/>
      <c r="AI2" s="361"/>
      <c r="AJ2" s="361"/>
      <c r="AK2" s="361"/>
    </row>
    <row r="3" spans="1:37" s="314" customFormat="1" ht="19.5" customHeight="1">
      <c r="A3" s="420" t="s">
        <v>562</v>
      </c>
      <c r="B3" s="53"/>
      <c r="C3" s="361"/>
      <c r="D3" s="361"/>
      <c r="E3" s="360"/>
      <c r="F3" s="361"/>
      <c r="G3" s="362"/>
      <c r="H3" s="361"/>
      <c r="I3" s="361"/>
      <c r="J3" s="363"/>
      <c r="K3" s="363"/>
      <c r="L3" s="363"/>
      <c r="M3" s="363"/>
      <c r="N3" s="363"/>
      <c r="O3" s="363"/>
      <c r="P3" s="363"/>
      <c r="Q3" s="1511" t="s">
        <v>298</v>
      </c>
      <c r="R3" s="1511"/>
      <c r="S3" s="361"/>
      <c r="T3" s="36"/>
      <c r="U3" s="361"/>
      <c r="V3" s="361"/>
      <c r="W3" s="361"/>
      <c r="X3" s="361"/>
      <c r="Y3" s="361"/>
      <c r="Z3" s="361"/>
      <c r="AA3" s="361"/>
      <c r="AB3" s="361"/>
      <c r="AC3" s="361"/>
      <c r="AD3" s="361"/>
      <c r="AE3" s="361"/>
      <c r="AF3" s="361"/>
      <c r="AG3" s="361"/>
      <c r="AH3" s="361"/>
      <c r="AI3" s="361"/>
      <c r="AJ3" s="361"/>
      <c r="AK3" s="361"/>
    </row>
    <row r="4" spans="1:37" s="61" customFormat="1" ht="23.25" customHeight="1">
      <c r="A4" s="1512" t="s">
        <v>301</v>
      </c>
      <c r="B4" s="1513"/>
      <c r="C4" s="1513"/>
      <c r="D4" s="1514"/>
      <c r="E4" s="1515" t="str">
        <f>'[1]다-3.후원금세입'!D4:D5</f>
        <v>당초예산
( A )</v>
      </c>
      <c r="F4" s="1517" t="str">
        <f>'[1]다-3.후원금세입'!E4:E5</f>
        <v>1차추경
( B )</v>
      </c>
      <c r="G4" s="1519" t="s">
        <v>480</v>
      </c>
      <c r="H4" s="1519"/>
      <c r="I4" s="1520" t="s">
        <v>508</v>
      </c>
      <c r="J4" s="1521"/>
      <c r="K4" s="1521"/>
      <c r="L4" s="1521"/>
      <c r="M4" s="1521"/>
      <c r="N4" s="1521"/>
      <c r="O4" s="1521"/>
      <c r="P4" s="1521"/>
      <c r="Q4" s="1521"/>
      <c r="R4" s="1522"/>
      <c r="T4" s="37"/>
    </row>
    <row r="5" spans="1:37" s="61" customFormat="1" ht="22.5" customHeight="1" thickBot="1">
      <c r="A5" s="287" t="s">
        <v>1</v>
      </c>
      <c r="B5" s="364" t="s">
        <v>2</v>
      </c>
      <c r="C5" s="64" t="s">
        <v>3</v>
      </c>
      <c r="D5" s="64" t="s">
        <v>501</v>
      </c>
      <c r="E5" s="1516"/>
      <c r="F5" s="1518"/>
      <c r="G5" s="288" t="s">
        <v>305</v>
      </c>
      <c r="H5" s="289" t="s">
        <v>306</v>
      </c>
      <c r="I5" s="1523"/>
      <c r="J5" s="1524"/>
      <c r="K5" s="1524"/>
      <c r="L5" s="1524"/>
      <c r="M5" s="1524"/>
      <c r="N5" s="1524"/>
      <c r="O5" s="1524"/>
      <c r="P5" s="1524"/>
      <c r="Q5" s="1524"/>
      <c r="R5" s="1525"/>
      <c r="T5" s="38"/>
      <c r="U5" s="365"/>
    </row>
    <row r="6" spans="1:37" s="51" customFormat="1" ht="29.25" customHeight="1" thickTop="1">
      <c r="A6" s="1499" t="s">
        <v>511</v>
      </c>
      <c r="B6" s="1500"/>
      <c r="C6" s="1500"/>
      <c r="D6" s="366"/>
      <c r="E6" s="367">
        <v>207420000</v>
      </c>
      <c r="F6" s="367">
        <f>SUM(F7,F20,F34,F37)</f>
        <v>207510000</v>
      </c>
      <c r="G6" s="368">
        <f>F6-E6</f>
        <v>90000</v>
      </c>
      <c r="H6" s="369">
        <f>G6/E6*100</f>
        <v>4.3390222736476719E-2</v>
      </c>
      <c r="I6" s="1501"/>
      <c r="J6" s="1502"/>
      <c r="K6" s="1502"/>
      <c r="L6" s="1502"/>
      <c r="M6" s="1502"/>
      <c r="N6" s="1502"/>
      <c r="O6" s="1502"/>
      <c r="P6" s="1502"/>
      <c r="Q6" s="1502"/>
      <c r="R6" s="1503"/>
      <c r="T6" s="39"/>
      <c r="U6" s="370"/>
    </row>
    <row r="7" spans="1:37" s="52" customFormat="1" ht="26.25" customHeight="1">
      <c r="A7" s="421" t="s">
        <v>310</v>
      </c>
      <c r="B7" s="339" t="s">
        <v>313</v>
      </c>
      <c r="C7" s="422" t="s">
        <v>309</v>
      </c>
      <c r="D7" s="372"/>
      <c r="E7" s="373">
        <v>155111300</v>
      </c>
      <c r="F7" s="373">
        <f>F8+F9+F14+F15</f>
        <v>155850630</v>
      </c>
      <c r="G7" s="279">
        <f>F7-E7</f>
        <v>739330</v>
      </c>
      <c r="H7" s="378">
        <f t="shared" ref="H7:H39" si="0">G7/E7*100</f>
        <v>0.47664483503136135</v>
      </c>
      <c r="I7" s="1504"/>
      <c r="J7" s="1505"/>
      <c r="K7" s="1505"/>
      <c r="L7" s="1505"/>
      <c r="M7" s="1505"/>
      <c r="N7" s="1505"/>
      <c r="O7" s="1505"/>
      <c r="P7" s="1505"/>
      <c r="Q7" s="1505"/>
      <c r="R7" s="1506"/>
      <c r="T7" s="40">
        <f>F7-F13</f>
        <v>129367580</v>
      </c>
      <c r="U7" s="52" t="s">
        <v>462</v>
      </c>
    </row>
    <row r="8" spans="1:37" s="52" customFormat="1" ht="26.25" customHeight="1">
      <c r="A8" s="423"/>
      <c r="B8" s="379"/>
      <c r="C8" s="282" t="s">
        <v>75</v>
      </c>
      <c r="D8" s="282"/>
      <c r="E8" s="385">
        <v>78161000</v>
      </c>
      <c r="F8" s="385">
        <f>'[1]인건비총계표(보조금)'!F676</f>
        <v>81016000</v>
      </c>
      <c r="G8" s="279">
        <f t="shared" ref="G8:G21" si="1">F8-E8</f>
        <v>2855000</v>
      </c>
      <c r="H8" s="378">
        <f t="shared" si="0"/>
        <v>3.6527168280856186</v>
      </c>
      <c r="I8" s="1507" t="s">
        <v>563</v>
      </c>
      <c r="J8" s="1508"/>
      <c r="K8" s="1508"/>
      <c r="L8" s="1508"/>
      <c r="M8" s="1508"/>
      <c r="N8" s="1508"/>
      <c r="O8" s="1508"/>
      <c r="P8" s="1508"/>
      <c r="Q8" s="1508"/>
      <c r="R8" s="1509"/>
      <c r="T8" s="40"/>
    </row>
    <row r="9" spans="1:37" s="52" customFormat="1" ht="26.25" customHeight="1">
      <c r="A9" s="423"/>
      <c r="B9" s="311"/>
      <c r="C9" s="282" t="s">
        <v>63</v>
      </c>
      <c r="D9" s="282" t="s">
        <v>312</v>
      </c>
      <c r="E9" s="385">
        <v>57149600</v>
      </c>
      <c r="F9" s="385">
        <f>SUM(F10:F13)</f>
        <v>54712250</v>
      </c>
      <c r="G9" s="279">
        <f t="shared" si="1"/>
        <v>-2437350</v>
      </c>
      <c r="H9" s="378">
        <f t="shared" si="0"/>
        <v>-4.2648592466088999</v>
      </c>
      <c r="I9" s="1507" t="s">
        <v>563</v>
      </c>
      <c r="J9" s="1508"/>
      <c r="K9" s="1508"/>
      <c r="L9" s="1508"/>
      <c r="M9" s="1508"/>
      <c r="N9" s="1508"/>
      <c r="O9" s="1508"/>
      <c r="P9" s="1508"/>
      <c r="Q9" s="1508"/>
      <c r="R9" s="1509"/>
      <c r="T9" s="40"/>
      <c r="AB9" s="208"/>
      <c r="AC9" s="208"/>
    </row>
    <row r="10" spans="1:37" s="52" customFormat="1" ht="26.25" customHeight="1">
      <c r="A10" s="423"/>
      <c r="B10" s="311"/>
      <c r="C10" s="382"/>
      <c r="D10" s="339" t="s">
        <v>515</v>
      </c>
      <c r="E10" s="385">
        <v>7817400</v>
      </c>
      <c r="F10" s="385">
        <f>'[1]인건비총계표(보조금)'!M676</f>
        <v>8104800</v>
      </c>
      <c r="G10" s="279">
        <f t="shared" si="1"/>
        <v>287400</v>
      </c>
      <c r="H10" s="378">
        <f t="shared" si="0"/>
        <v>3.6764141530432113</v>
      </c>
      <c r="I10" s="1507"/>
      <c r="J10" s="1508"/>
      <c r="K10" s="1508"/>
      <c r="L10" s="1508"/>
      <c r="M10" s="1508"/>
      <c r="N10" s="1508"/>
      <c r="O10" s="1508"/>
      <c r="P10" s="1508"/>
      <c r="Q10" s="1508"/>
      <c r="R10" s="1509"/>
      <c r="T10" s="40"/>
    </row>
    <row r="11" spans="1:37" s="52" customFormat="1" ht="26.25" customHeight="1">
      <c r="A11" s="423"/>
      <c r="B11" s="311"/>
      <c r="C11" s="382"/>
      <c r="D11" s="329" t="s">
        <v>516</v>
      </c>
      <c r="E11" s="385">
        <v>21756400</v>
      </c>
      <c r="F11" s="385">
        <f>'[1]인건비총계표(보조금)'!R676</f>
        <v>18924400</v>
      </c>
      <c r="G11" s="279">
        <f t="shared" si="1"/>
        <v>-2832000</v>
      </c>
      <c r="H11" s="378">
        <f t="shared" si="0"/>
        <v>-13.016859406887168</v>
      </c>
      <c r="I11" s="1507"/>
      <c r="J11" s="1508"/>
      <c r="K11" s="1508"/>
      <c r="L11" s="1508"/>
      <c r="M11" s="1508"/>
      <c r="N11" s="1508"/>
      <c r="O11" s="1508"/>
      <c r="P11" s="1508"/>
      <c r="Q11" s="1508"/>
      <c r="R11" s="1509"/>
      <c r="T11" s="40"/>
    </row>
    <row r="12" spans="1:37" s="52" customFormat="1" ht="26.25" customHeight="1">
      <c r="A12" s="423"/>
      <c r="B12" s="311"/>
      <c r="C12" s="311"/>
      <c r="D12" s="282" t="s">
        <v>517</v>
      </c>
      <c r="E12" s="385">
        <v>1200000</v>
      </c>
      <c r="F12" s="385">
        <f>'[1]인건비총계표(보조금)'!O676</f>
        <v>1200000</v>
      </c>
      <c r="G12" s="279">
        <f t="shared" si="1"/>
        <v>0</v>
      </c>
      <c r="H12" s="378">
        <f t="shared" si="0"/>
        <v>0</v>
      </c>
      <c r="I12" s="1507"/>
      <c r="J12" s="1508"/>
      <c r="K12" s="1508"/>
      <c r="L12" s="1508"/>
      <c r="M12" s="1508"/>
      <c r="N12" s="1508"/>
      <c r="O12" s="1508"/>
      <c r="P12" s="1508"/>
      <c r="Q12" s="1508"/>
      <c r="R12" s="1509"/>
      <c r="T12" s="40"/>
    </row>
    <row r="13" spans="1:37" s="52" customFormat="1" ht="26.25" customHeight="1">
      <c r="A13" s="382"/>
      <c r="B13" s="311"/>
      <c r="D13" s="339" t="s">
        <v>564</v>
      </c>
      <c r="E13" s="377">
        <v>26375800</v>
      </c>
      <c r="F13" s="377">
        <f>'[1]인건비총계표(보조금)'!S5+'[1]인건비총계표(보조금)'!S676</f>
        <v>26483050</v>
      </c>
      <c r="G13" s="279">
        <f>F13-E13</f>
        <v>107250</v>
      </c>
      <c r="H13" s="378">
        <f t="shared" si="0"/>
        <v>0.40662273750938355</v>
      </c>
      <c r="I13" s="1507"/>
      <c r="J13" s="1508"/>
      <c r="K13" s="1508"/>
      <c r="L13" s="1508"/>
      <c r="M13" s="1508"/>
      <c r="N13" s="1508"/>
      <c r="O13" s="1508"/>
      <c r="P13" s="1508"/>
      <c r="Q13" s="1508"/>
      <c r="R13" s="1509"/>
      <c r="T13" s="40"/>
    </row>
    <row r="14" spans="1:37" s="52" customFormat="1" ht="26.25" customHeight="1">
      <c r="A14" s="423"/>
      <c r="B14" s="311"/>
      <c r="C14" s="339" t="s">
        <v>518</v>
      </c>
      <c r="D14" s="339"/>
      <c r="E14" s="385">
        <v>9178460</v>
      </c>
      <c r="F14" s="385">
        <f>'[1]인건비총계표(보조금)'!W676</f>
        <v>9209190</v>
      </c>
      <c r="G14" s="279">
        <f t="shared" si="1"/>
        <v>30730</v>
      </c>
      <c r="H14" s="378">
        <f t="shared" si="0"/>
        <v>0.33480562098652716</v>
      </c>
      <c r="I14" s="1507"/>
      <c r="J14" s="1508"/>
      <c r="K14" s="1508"/>
      <c r="L14" s="1508"/>
      <c r="M14" s="1508"/>
      <c r="N14" s="1508"/>
      <c r="O14" s="1508"/>
      <c r="P14" s="1508"/>
      <c r="Q14" s="1508"/>
      <c r="R14" s="1509"/>
      <c r="T14" s="40"/>
    </row>
    <row r="15" spans="1:37" s="52" customFormat="1" ht="26.25" customHeight="1">
      <c r="A15" s="423"/>
      <c r="B15" s="311"/>
      <c r="C15" s="383" t="s">
        <v>519</v>
      </c>
      <c r="D15" s="384" t="s">
        <v>312</v>
      </c>
      <c r="E15" s="385">
        <v>10622240</v>
      </c>
      <c r="F15" s="385">
        <f>SUM(F16:F19)</f>
        <v>10913190</v>
      </c>
      <c r="G15" s="279">
        <f t="shared" si="1"/>
        <v>290950</v>
      </c>
      <c r="H15" s="378">
        <f t="shared" si="0"/>
        <v>2.7390644534486133</v>
      </c>
      <c r="I15" s="1507"/>
      <c r="J15" s="1508"/>
      <c r="K15" s="1508"/>
      <c r="L15" s="1508"/>
      <c r="M15" s="1508"/>
      <c r="N15" s="1508"/>
      <c r="O15" s="1508"/>
      <c r="P15" s="1508"/>
      <c r="Q15" s="1508"/>
      <c r="R15" s="1509"/>
      <c r="T15" s="40"/>
    </row>
    <row r="16" spans="1:37" s="52" customFormat="1" ht="26.25" customHeight="1">
      <c r="A16" s="423"/>
      <c r="B16" s="311"/>
      <c r="C16" s="379"/>
      <c r="D16" s="379" t="s">
        <v>520</v>
      </c>
      <c r="E16" s="385">
        <v>3814500</v>
      </c>
      <c r="F16" s="385">
        <f>'[1]인건비총계표(보조금)'!Y676+'[1]인건비총계표(보조금)'!Z676</f>
        <v>4056970</v>
      </c>
      <c r="G16" s="279">
        <f t="shared" si="1"/>
        <v>242470</v>
      </c>
      <c r="H16" s="378">
        <f t="shared" si="0"/>
        <v>6.3565342771005371</v>
      </c>
      <c r="I16" s="1507"/>
      <c r="J16" s="1508"/>
      <c r="K16" s="1508"/>
      <c r="L16" s="1508"/>
      <c r="M16" s="1508"/>
      <c r="N16" s="1508"/>
      <c r="O16" s="1508"/>
      <c r="P16" s="1508"/>
      <c r="Q16" s="1508"/>
      <c r="R16" s="1509"/>
      <c r="T16" s="40"/>
    </row>
    <row r="17" spans="1:20" s="52" customFormat="1" ht="26.25" customHeight="1">
      <c r="A17" s="423"/>
      <c r="B17" s="311"/>
      <c r="C17" s="382"/>
      <c r="D17" s="339" t="s">
        <v>522</v>
      </c>
      <c r="E17" s="385">
        <v>4935400</v>
      </c>
      <c r="F17" s="385">
        <f>'[1]인건비총계표(보조금)'!X676</f>
        <v>4977540</v>
      </c>
      <c r="G17" s="279">
        <f t="shared" si="1"/>
        <v>42140</v>
      </c>
      <c r="H17" s="378">
        <f t="shared" si="0"/>
        <v>0.85383150301900546</v>
      </c>
      <c r="I17" s="1507"/>
      <c r="J17" s="1508"/>
      <c r="K17" s="1508"/>
      <c r="L17" s="1508"/>
      <c r="M17" s="1508"/>
      <c r="N17" s="1508"/>
      <c r="O17" s="1508"/>
      <c r="P17" s="1508"/>
      <c r="Q17" s="1508"/>
      <c r="R17" s="1509"/>
      <c r="T17" s="40"/>
    </row>
    <row r="18" spans="1:20" s="52" customFormat="1" ht="26.25" customHeight="1">
      <c r="A18" s="423"/>
      <c r="B18" s="311"/>
      <c r="C18" s="311"/>
      <c r="D18" s="282" t="s">
        <v>524</v>
      </c>
      <c r="E18" s="385">
        <v>991240</v>
      </c>
      <c r="F18" s="385">
        <f>'[1]인건비총계표(보조금)'!AA676</f>
        <v>994600</v>
      </c>
      <c r="G18" s="279">
        <f t="shared" si="1"/>
        <v>3360</v>
      </c>
      <c r="H18" s="378">
        <f t="shared" si="0"/>
        <v>0.33896937169605745</v>
      </c>
      <c r="I18" s="1507"/>
      <c r="J18" s="1508"/>
      <c r="K18" s="1508"/>
      <c r="L18" s="1508"/>
      <c r="M18" s="1508"/>
      <c r="N18" s="1508"/>
      <c r="O18" s="1508"/>
      <c r="P18" s="1508"/>
      <c r="Q18" s="1508"/>
      <c r="R18" s="1509"/>
      <c r="T18" s="40"/>
    </row>
    <row r="19" spans="1:20" s="52" customFormat="1" ht="26.25" customHeight="1">
      <c r="A19" s="423"/>
      <c r="B19" s="311"/>
      <c r="C19" s="309"/>
      <c r="D19" s="282" t="s">
        <v>526</v>
      </c>
      <c r="E19" s="385">
        <v>881100</v>
      </c>
      <c r="F19" s="385">
        <f>'[1]인건비총계표(보조금)'!AB676</f>
        <v>884080</v>
      </c>
      <c r="G19" s="279">
        <f t="shared" si="1"/>
        <v>2980</v>
      </c>
      <c r="H19" s="378">
        <f t="shared" si="0"/>
        <v>0.33821359664056294</v>
      </c>
      <c r="I19" s="1507"/>
      <c r="J19" s="1508"/>
      <c r="K19" s="1508"/>
      <c r="L19" s="1508"/>
      <c r="M19" s="1508"/>
      <c r="N19" s="1508"/>
      <c r="O19" s="1508"/>
      <c r="P19" s="1508"/>
      <c r="Q19" s="1508"/>
      <c r="R19" s="1509"/>
      <c r="T19" s="40"/>
    </row>
    <row r="20" spans="1:20" s="52" customFormat="1" ht="26.25" customHeight="1">
      <c r="A20" s="311" t="s">
        <v>337</v>
      </c>
      <c r="B20" s="1526" t="s">
        <v>309</v>
      </c>
      <c r="C20" s="1527"/>
      <c r="D20" s="339"/>
      <c r="E20" s="385">
        <v>46160000</v>
      </c>
      <c r="F20" s="385">
        <f>SUM(F21,F25,F31,F33)</f>
        <v>48250000</v>
      </c>
      <c r="G20" s="279">
        <f t="shared" si="1"/>
        <v>2090000</v>
      </c>
      <c r="H20" s="378"/>
      <c r="I20" s="424"/>
      <c r="J20" s="425"/>
      <c r="K20" s="425"/>
      <c r="L20" s="425"/>
      <c r="M20" s="425"/>
      <c r="N20" s="425"/>
      <c r="O20" s="425"/>
      <c r="P20" s="425"/>
      <c r="Q20" s="425"/>
      <c r="R20" s="426"/>
      <c r="T20" s="40"/>
    </row>
    <row r="21" spans="1:20" s="52" customFormat="1" ht="26.25" customHeight="1">
      <c r="A21" s="423"/>
      <c r="B21" s="311"/>
      <c r="C21" s="339" t="s">
        <v>565</v>
      </c>
      <c r="D21" s="382" t="s">
        <v>312</v>
      </c>
      <c r="E21" s="385">
        <v>6600000</v>
      </c>
      <c r="F21" s="385">
        <f>SUM(F22:F24)</f>
        <v>6600000</v>
      </c>
      <c r="G21" s="279">
        <f t="shared" si="1"/>
        <v>0</v>
      </c>
      <c r="H21" s="378"/>
      <c r="I21" s="1507"/>
      <c r="J21" s="1508"/>
      <c r="K21" s="1508"/>
      <c r="L21" s="1508"/>
      <c r="M21" s="1508"/>
      <c r="N21" s="1508"/>
      <c r="O21" s="1508"/>
      <c r="P21" s="1508"/>
      <c r="Q21" s="1508"/>
      <c r="R21" s="1509"/>
      <c r="T21" s="40"/>
    </row>
    <row r="22" spans="1:20" s="52" customFormat="1" ht="26.25" customHeight="1">
      <c r="A22" s="306"/>
      <c r="B22" s="311"/>
      <c r="C22" s="382"/>
      <c r="D22" s="339" t="s">
        <v>566</v>
      </c>
      <c r="E22" s="377">
        <v>3600000</v>
      </c>
      <c r="F22" s="377">
        <v>3600000</v>
      </c>
      <c r="G22" s="279">
        <f>F22-E22</f>
        <v>0</v>
      </c>
      <c r="H22" s="378">
        <f t="shared" si="0"/>
        <v>0</v>
      </c>
      <c r="I22" s="1531" t="s">
        <v>567</v>
      </c>
      <c r="J22" s="1534"/>
      <c r="K22" s="1534"/>
      <c r="L22" s="1534"/>
      <c r="M22" s="1534"/>
      <c r="N22" s="1534"/>
      <c r="O22" s="1534"/>
      <c r="P22" s="1534"/>
      <c r="Q22" s="1534"/>
      <c r="R22" s="1535"/>
      <c r="T22" s="40"/>
    </row>
    <row r="23" spans="1:20" s="52" customFormat="1" ht="26.25" hidden="1" customHeight="1">
      <c r="A23" s="306"/>
      <c r="B23" s="311"/>
      <c r="C23" s="382"/>
      <c r="D23" s="329" t="s">
        <v>568</v>
      </c>
      <c r="E23" s="377">
        <v>0</v>
      </c>
      <c r="F23" s="377">
        <v>0</v>
      </c>
      <c r="G23" s="279">
        <f>F23-E23</f>
        <v>0</v>
      </c>
      <c r="H23" s="378" t="e">
        <f t="shared" si="0"/>
        <v>#DIV/0!</v>
      </c>
      <c r="I23" s="1531" t="s">
        <v>569</v>
      </c>
      <c r="J23" s="1532"/>
      <c r="K23" s="1532"/>
      <c r="L23" s="1532"/>
      <c r="M23" s="1532"/>
      <c r="N23" s="1532"/>
      <c r="O23" s="1532"/>
      <c r="P23" s="1532"/>
      <c r="Q23" s="1532"/>
      <c r="R23" s="1533"/>
      <c r="T23" s="40"/>
    </row>
    <row r="24" spans="1:20" s="52" customFormat="1" ht="22.5" customHeight="1">
      <c r="A24" s="306"/>
      <c r="B24" s="311"/>
      <c r="C24" s="384"/>
      <c r="D24" s="339" t="s">
        <v>570</v>
      </c>
      <c r="E24" s="377">
        <v>3000000</v>
      </c>
      <c r="F24" s="377">
        <v>3000000</v>
      </c>
      <c r="G24" s="279">
        <f>F24-E24</f>
        <v>0</v>
      </c>
      <c r="H24" s="378">
        <f t="shared" si="0"/>
        <v>0</v>
      </c>
      <c r="I24" s="1531" t="s">
        <v>571</v>
      </c>
      <c r="J24" s="1532"/>
      <c r="K24" s="1532"/>
      <c r="L24" s="1532"/>
      <c r="M24" s="1532"/>
      <c r="N24" s="1532"/>
      <c r="O24" s="1532"/>
      <c r="P24" s="1532"/>
      <c r="Q24" s="1532"/>
      <c r="R24" s="1533"/>
      <c r="T24" s="40"/>
    </row>
    <row r="25" spans="1:20" s="52" customFormat="1" ht="22.5" customHeight="1">
      <c r="A25" s="306"/>
      <c r="B25" s="311"/>
      <c r="C25" s="339" t="s">
        <v>572</v>
      </c>
      <c r="D25" s="339" t="s">
        <v>312</v>
      </c>
      <c r="E25" s="377">
        <v>32840000</v>
      </c>
      <c r="F25" s="377">
        <f>SUM(F26:F30)</f>
        <v>32840000</v>
      </c>
      <c r="G25" s="279">
        <f t="shared" ref="G25:G38" si="2">F25-E25</f>
        <v>0</v>
      </c>
      <c r="H25" s="378"/>
      <c r="I25" s="1531"/>
      <c r="J25" s="1532"/>
      <c r="K25" s="1532"/>
      <c r="L25" s="1532"/>
      <c r="M25" s="1532"/>
      <c r="N25" s="1532"/>
      <c r="O25" s="1532"/>
      <c r="P25" s="1532"/>
      <c r="Q25" s="1532"/>
      <c r="R25" s="1533"/>
      <c r="T25" s="40"/>
    </row>
    <row r="26" spans="1:20" s="52" customFormat="1" ht="22.5" customHeight="1">
      <c r="A26" s="306"/>
      <c r="B26" s="311"/>
      <c r="C26" s="379"/>
      <c r="D26" s="339" t="s">
        <v>573</v>
      </c>
      <c r="E26" s="377">
        <v>14600000</v>
      </c>
      <c r="F26" s="377">
        <f>'[1]4종'!O5</f>
        <v>14600000</v>
      </c>
      <c r="G26" s="279">
        <f t="shared" si="2"/>
        <v>0</v>
      </c>
      <c r="H26" s="378"/>
      <c r="I26" s="1531" t="s">
        <v>574</v>
      </c>
      <c r="J26" s="1534"/>
      <c r="K26" s="1534"/>
      <c r="L26" s="1534"/>
      <c r="M26" s="1534"/>
      <c r="N26" s="1534"/>
      <c r="O26" s="1534"/>
      <c r="P26" s="1534"/>
      <c r="Q26" s="1534"/>
      <c r="R26" s="1535"/>
      <c r="T26" s="40"/>
    </row>
    <row r="27" spans="1:20" s="52" customFormat="1" ht="22.5" customHeight="1">
      <c r="A27" s="306"/>
      <c r="B27" s="311"/>
      <c r="C27" s="382"/>
      <c r="D27" s="339" t="s">
        <v>575</v>
      </c>
      <c r="E27" s="377">
        <v>4800000</v>
      </c>
      <c r="F27" s="377">
        <f>'[1]4종'!O19</f>
        <v>4800000</v>
      </c>
      <c r="G27" s="279">
        <f t="shared" si="2"/>
        <v>0</v>
      </c>
      <c r="H27" s="378"/>
      <c r="I27" s="1531" t="s">
        <v>576</v>
      </c>
      <c r="J27" s="1534"/>
      <c r="K27" s="1534"/>
      <c r="L27" s="1534"/>
      <c r="M27" s="1534"/>
      <c r="N27" s="1534"/>
      <c r="O27" s="1534"/>
      <c r="P27" s="1534"/>
      <c r="Q27" s="1534"/>
      <c r="R27" s="1535"/>
      <c r="T27" s="40"/>
    </row>
    <row r="28" spans="1:20" s="52" customFormat="1" ht="22.5" customHeight="1">
      <c r="A28" s="306"/>
      <c r="B28" s="311"/>
      <c r="C28" s="382"/>
      <c r="D28" s="339" t="s">
        <v>577</v>
      </c>
      <c r="E28" s="377">
        <v>6400000</v>
      </c>
      <c r="F28" s="377">
        <f>'[1]4종'!O34</f>
        <v>6400000</v>
      </c>
      <c r="G28" s="279">
        <f t="shared" si="2"/>
        <v>0</v>
      </c>
      <c r="H28" s="378"/>
      <c r="I28" s="1531" t="s">
        <v>578</v>
      </c>
      <c r="J28" s="1534"/>
      <c r="K28" s="1534"/>
      <c r="L28" s="1534"/>
      <c r="M28" s="1534"/>
      <c r="N28" s="1534"/>
      <c r="O28" s="1534"/>
      <c r="P28" s="1534"/>
      <c r="Q28" s="1534"/>
      <c r="R28" s="1535"/>
      <c r="T28" s="40"/>
    </row>
    <row r="29" spans="1:20" s="52" customFormat="1" ht="22.5" customHeight="1">
      <c r="A29" s="306"/>
      <c r="B29" s="311"/>
      <c r="C29" s="382"/>
      <c r="D29" s="339" t="s">
        <v>579</v>
      </c>
      <c r="E29" s="377">
        <v>3840000</v>
      </c>
      <c r="F29" s="377">
        <f>'[1]4종'!O35</f>
        <v>3840000</v>
      </c>
      <c r="G29" s="279">
        <f t="shared" si="2"/>
        <v>0</v>
      </c>
      <c r="H29" s="378"/>
      <c r="I29" s="1531" t="s">
        <v>580</v>
      </c>
      <c r="J29" s="1534"/>
      <c r="K29" s="1534"/>
      <c r="L29" s="1534"/>
      <c r="M29" s="1534"/>
      <c r="N29" s="1534"/>
      <c r="O29" s="1534"/>
      <c r="P29" s="1534"/>
      <c r="Q29" s="1534"/>
      <c r="R29" s="1535"/>
      <c r="T29" s="40"/>
    </row>
    <row r="30" spans="1:20" s="52" customFormat="1" ht="22.5" customHeight="1">
      <c r="A30" s="306"/>
      <c r="B30" s="311"/>
      <c r="C30" s="384"/>
      <c r="D30" s="339" t="s">
        <v>456</v>
      </c>
      <c r="E30" s="377">
        <v>3200000</v>
      </c>
      <c r="F30" s="377">
        <f>'[1]4종'!O41</f>
        <v>3200000</v>
      </c>
      <c r="G30" s="279">
        <f t="shared" si="2"/>
        <v>0</v>
      </c>
      <c r="H30" s="378"/>
      <c r="I30" s="1531" t="s">
        <v>581</v>
      </c>
      <c r="J30" s="1534"/>
      <c r="K30" s="1534"/>
      <c r="L30" s="1534"/>
      <c r="M30" s="1534"/>
      <c r="N30" s="1534"/>
      <c r="O30" s="1534"/>
      <c r="P30" s="1534"/>
      <c r="Q30" s="1534"/>
      <c r="R30" s="1535"/>
      <c r="T30" s="40"/>
    </row>
    <row r="31" spans="1:20" s="52" customFormat="1" ht="22.5" customHeight="1">
      <c r="A31" s="306"/>
      <c r="B31" s="311"/>
      <c r="C31" s="339" t="s">
        <v>351</v>
      </c>
      <c r="D31" s="339" t="s">
        <v>312</v>
      </c>
      <c r="E31" s="377">
        <v>6720000</v>
      </c>
      <c r="F31" s="377">
        <f>F32</f>
        <v>6720000</v>
      </c>
      <c r="G31" s="279">
        <f t="shared" si="2"/>
        <v>0</v>
      </c>
      <c r="H31" s="378"/>
      <c r="I31" s="427"/>
      <c r="J31" s="428"/>
      <c r="K31" s="428"/>
      <c r="L31" s="428"/>
      <c r="M31" s="428"/>
      <c r="N31" s="428"/>
      <c r="O31" s="428"/>
      <c r="P31" s="428"/>
      <c r="Q31" s="428"/>
      <c r="R31" s="429"/>
      <c r="T31" s="40"/>
    </row>
    <row r="32" spans="1:20" s="52" customFormat="1" ht="22.5" customHeight="1">
      <c r="A32" s="306"/>
      <c r="B32" s="311"/>
      <c r="C32" s="339"/>
      <c r="D32" s="339" t="s">
        <v>351</v>
      </c>
      <c r="E32" s="377">
        <v>6720000</v>
      </c>
      <c r="F32" s="377">
        <v>6720000</v>
      </c>
      <c r="G32" s="279">
        <f t="shared" si="2"/>
        <v>0</v>
      </c>
      <c r="H32" s="378"/>
      <c r="I32" s="1531"/>
      <c r="J32" s="1534"/>
      <c r="K32" s="1534"/>
      <c r="L32" s="1534"/>
      <c r="M32" s="1534"/>
      <c r="N32" s="1534"/>
      <c r="O32" s="1534"/>
      <c r="P32" s="1534"/>
      <c r="Q32" s="1534"/>
      <c r="R32" s="1535"/>
      <c r="T32" s="40"/>
    </row>
    <row r="33" spans="1:20" s="52" customFormat="1" ht="22.5" customHeight="1">
      <c r="A33" s="306"/>
      <c r="B33" s="307"/>
      <c r="C33" s="339" t="s">
        <v>582</v>
      </c>
      <c r="D33" s="339" t="s">
        <v>583</v>
      </c>
      <c r="E33" s="377">
        <v>0</v>
      </c>
      <c r="F33" s="377">
        <v>2090000</v>
      </c>
      <c r="G33" s="279">
        <f t="shared" si="2"/>
        <v>2090000</v>
      </c>
      <c r="H33" s="378" t="e">
        <f>G33/E33*100</f>
        <v>#DIV/0!</v>
      </c>
      <c r="I33" s="1531" t="s">
        <v>584</v>
      </c>
      <c r="J33" s="1534"/>
      <c r="K33" s="1534"/>
      <c r="L33" s="1534"/>
      <c r="M33" s="1534"/>
      <c r="N33" s="1534"/>
      <c r="O33" s="1534"/>
      <c r="P33" s="1534"/>
      <c r="Q33" s="1534"/>
      <c r="R33" s="1535"/>
      <c r="T33" s="40"/>
    </row>
    <row r="34" spans="1:20" s="52" customFormat="1" ht="24" customHeight="1">
      <c r="A34" s="294" t="s">
        <v>360</v>
      </c>
      <c r="B34" s="1526" t="s">
        <v>309</v>
      </c>
      <c r="C34" s="1527"/>
      <c r="D34" s="339"/>
      <c r="E34" s="377">
        <v>66700</v>
      </c>
      <c r="F34" s="377">
        <f>F35</f>
        <v>66180</v>
      </c>
      <c r="G34" s="279">
        <f>F34-E34</f>
        <v>-520</v>
      </c>
      <c r="H34" s="378">
        <f t="shared" si="0"/>
        <v>-0.77961019490254868</v>
      </c>
      <c r="I34" s="1528"/>
      <c r="J34" s="1529"/>
      <c r="K34" s="1529"/>
      <c r="L34" s="1529"/>
      <c r="M34" s="1529"/>
      <c r="N34" s="1529"/>
      <c r="O34" s="1529"/>
      <c r="P34" s="1529"/>
      <c r="Q34" s="1529"/>
      <c r="R34" s="1530"/>
      <c r="T34" s="40"/>
    </row>
    <row r="35" spans="1:20" s="52" customFormat="1" ht="24" customHeight="1">
      <c r="A35" s="297"/>
      <c r="B35" s="282" t="s">
        <v>360</v>
      </c>
      <c r="C35" s="282" t="s">
        <v>312</v>
      </c>
      <c r="D35" s="282"/>
      <c r="E35" s="373">
        <v>66700</v>
      </c>
      <c r="F35" s="373">
        <f>F36</f>
        <v>66180</v>
      </c>
      <c r="G35" s="279">
        <f t="shared" si="2"/>
        <v>-520</v>
      </c>
      <c r="H35" s="378">
        <f t="shared" si="0"/>
        <v>-0.77961019490254868</v>
      </c>
      <c r="I35" s="1531"/>
      <c r="J35" s="1534"/>
      <c r="K35" s="1534"/>
      <c r="L35" s="1534"/>
      <c r="M35" s="1534"/>
      <c r="N35" s="1534"/>
      <c r="O35" s="1534"/>
      <c r="P35" s="1534"/>
      <c r="Q35" s="1534"/>
      <c r="R35" s="1535"/>
      <c r="T35" s="40"/>
    </row>
    <row r="36" spans="1:20" s="52" customFormat="1" ht="24" customHeight="1">
      <c r="A36" s="299"/>
      <c r="B36" s="282"/>
      <c r="C36" s="282" t="s">
        <v>360</v>
      </c>
      <c r="D36" s="282"/>
      <c r="E36" s="280">
        <v>66700</v>
      </c>
      <c r="F36" s="280">
        <v>66180</v>
      </c>
      <c r="G36" s="279">
        <f t="shared" si="2"/>
        <v>-520</v>
      </c>
      <c r="H36" s="378">
        <f t="shared" si="0"/>
        <v>-0.77961019490254868</v>
      </c>
      <c r="I36" s="1531"/>
      <c r="J36" s="1536"/>
      <c r="K36" s="1536"/>
      <c r="L36" s="1536"/>
      <c r="M36" s="1536"/>
      <c r="N36" s="1536"/>
      <c r="O36" s="1536"/>
      <c r="P36" s="1536"/>
      <c r="Q36" s="1536"/>
      <c r="R36" s="1537"/>
      <c r="T36" s="40"/>
    </row>
    <row r="37" spans="1:20" s="52" customFormat="1" ht="24" customHeight="1">
      <c r="A37" s="294" t="s">
        <v>361</v>
      </c>
      <c r="B37" s="1526" t="s">
        <v>309</v>
      </c>
      <c r="C37" s="1527"/>
      <c r="D37" s="282"/>
      <c r="E37" s="373">
        <v>6082000</v>
      </c>
      <c r="F37" s="373">
        <f>F38</f>
        <v>3343190</v>
      </c>
      <c r="G37" s="279">
        <f t="shared" si="2"/>
        <v>-2738810</v>
      </c>
      <c r="H37" s="378">
        <f t="shared" si="0"/>
        <v>-45.031404143373891</v>
      </c>
      <c r="I37" s="1531"/>
      <c r="J37" s="1536"/>
      <c r="K37" s="1536"/>
      <c r="L37" s="1536"/>
      <c r="M37" s="1536"/>
      <c r="N37" s="1536"/>
      <c r="O37" s="1536"/>
      <c r="P37" s="1536"/>
      <c r="Q37" s="1536"/>
      <c r="R37" s="1537"/>
      <c r="T37" s="40"/>
    </row>
    <row r="38" spans="1:20" s="52" customFormat="1" ht="24" customHeight="1">
      <c r="A38" s="297"/>
      <c r="B38" s="329" t="s">
        <v>559</v>
      </c>
      <c r="C38" s="282" t="s">
        <v>312</v>
      </c>
      <c r="D38" s="282"/>
      <c r="E38" s="377">
        <v>6082000</v>
      </c>
      <c r="F38" s="377">
        <f>F39</f>
        <v>3343190</v>
      </c>
      <c r="G38" s="279">
        <f t="shared" si="2"/>
        <v>-2738810</v>
      </c>
      <c r="H38" s="378">
        <f t="shared" si="0"/>
        <v>-45.031404143373891</v>
      </c>
      <c r="I38" s="1531"/>
      <c r="J38" s="1536"/>
      <c r="K38" s="1536"/>
      <c r="L38" s="1536"/>
      <c r="M38" s="1536"/>
      <c r="N38" s="1536"/>
      <c r="O38" s="1536"/>
      <c r="P38" s="1536"/>
      <c r="Q38" s="1536"/>
      <c r="R38" s="1537"/>
      <c r="T38" s="40"/>
    </row>
    <row r="39" spans="1:20" s="52" customFormat="1" ht="24" customHeight="1">
      <c r="A39" s="317"/>
      <c r="B39" s="318"/>
      <c r="C39" s="319" t="s">
        <v>559</v>
      </c>
      <c r="D39" s="319"/>
      <c r="E39" s="397">
        <v>6082000</v>
      </c>
      <c r="F39" s="397">
        <f>'[1]다-1.도시(군)세입'!F25</f>
        <v>3343190</v>
      </c>
      <c r="G39" s="398">
        <f>F39-E39</f>
        <v>-2738810</v>
      </c>
      <c r="H39" s="405">
        <f t="shared" si="0"/>
        <v>-45.031404143373891</v>
      </c>
      <c r="I39" s="1538" t="s">
        <v>585</v>
      </c>
      <c r="J39" s="1539"/>
      <c r="K39" s="1539"/>
      <c r="L39" s="1539"/>
      <c r="M39" s="1539"/>
      <c r="N39" s="1539"/>
      <c r="O39" s="1539"/>
      <c r="P39" s="1539"/>
      <c r="Q39" s="1539"/>
      <c r="R39" s="1540"/>
      <c r="T39" s="40"/>
    </row>
    <row r="40" spans="1:20" s="52" customFormat="1" ht="16.5" customHeight="1">
      <c r="A40" s="406"/>
      <c r="B40" s="406"/>
      <c r="C40" s="407"/>
      <c r="D40" s="407"/>
      <c r="E40" s="408"/>
      <c r="F40" s="408"/>
      <c r="G40" s="409"/>
      <c r="H40" s="410"/>
      <c r="I40" s="411"/>
      <c r="J40" s="412"/>
      <c r="K40" s="412"/>
      <c r="L40" s="412"/>
      <c r="M40" s="412"/>
      <c r="N40" s="412"/>
      <c r="O40" s="412"/>
      <c r="P40" s="412"/>
      <c r="Q40" s="412"/>
      <c r="R40" s="412"/>
      <c r="T40" s="40"/>
    </row>
    <row r="41" spans="1:20" s="52" customFormat="1" ht="12" customHeight="1">
      <c r="E41" s="208"/>
      <c r="G41" s="413"/>
      <c r="J41" s="414"/>
      <c r="K41" s="414"/>
      <c r="L41" s="414"/>
      <c r="M41" s="414"/>
      <c r="N41" s="414"/>
      <c r="O41" s="414"/>
      <c r="P41" s="414"/>
      <c r="R41" s="414"/>
      <c r="T41" s="40"/>
    </row>
    <row r="42" spans="1:20" s="52" customFormat="1" ht="12" customHeight="1">
      <c r="E42" s="208"/>
      <c r="G42" s="413"/>
      <c r="J42" s="414"/>
      <c r="K42" s="414"/>
      <c r="L42" s="414"/>
      <c r="M42" s="414"/>
      <c r="N42" s="414"/>
      <c r="O42" s="414"/>
      <c r="P42" s="414"/>
      <c r="R42" s="414"/>
      <c r="T42" s="40"/>
    </row>
    <row r="43" spans="1:20" s="52" customFormat="1" ht="12" customHeight="1">
      <c r="E43" s="208"/>
      <c r="G43" s="413"/>
      <c r="J43" s="414"/>
      <c r="K43" s="414"/>
      <c r="L43" s="414"/>
      <c r="M43" s="414"/>
      <c r="N43" s="414"/>
      <c r="O43" s="414"/>
      <c r="P43" s="414"/>
      <c r="R43" s="414"/>
      <c r="T43" s="40"/>
    </row>
    <row r="44" spans="1:20" s="52" customFormat="1" ht="12" customHeight="1">
      <c r="E44" s="208"/>
      <c r="G44" s="413"/>
      <c r="J44" s="414"/>
      <c r="K44" s="414"/>
      <c r="L44" s="414"/>
      <c r="M44" s="414"/>
      <c r="N44" s="414"/>
      <c r="O44" s="414"/>
      <c r="P44" s="414"/>
      <c r="R44" s="414"/>
      <c r="T44" s="40"/>
    </row>
    <row r="45" spans="1:20" s="52" customFormat="1" ht="12" customHeight="1">
      <c r="E45" s="208"/>
      <c r="G45" s="413"/>
      <c r="J45" s="414"/>
      <c r="K45" s="414"/>
      <c r="L45" s="414"/>
      <c r="M45" s="414"/>
      <c r="N45" s="414"/>
      <c r="O45" s="414"/>
      <c r="P45" s="414"/>
      <c r="R45" s="414"/>
      <c r="T45" s="40"/>
    </row>
    <row r="46" spans="1:20" s="52" customFormat="1" ht="12" customHeight="1">
      <c r="E46" s="208"/>
      <c r="G46" s="413"/>
      <c r="J46" s="414"/>
      <c r="K46" s="414"/>
      <c r="L46" s="414"/>
      <c r="M46" s="414"/>
      <c r="N46" s="414"/>
      <c r="O46" s="414"/>
      <c r="P46" s="414"/>
      <c r="R46" s="414"/>
      <c r="T46" s="40"/>
    </row>
    <row r="47" spans="1:20" s="52" customFormat="1" ht="12" customHeight="1">
      <c r="E47" s="208"/>
      <c r="G47" s="413"/>
      <c r="J47" s="414"/>
      <c r="K47" s="414"/>
      <c r="L47" s="414"/>
      <c r="M47" s="414"/>
      <c r="N47" s="414"/>
      <c r="O47" s="414"/>
      <c r="P47" s="414"/>
      <c r="R47" s="414"/>
      <c r="T47" s="40"/>
    </row>
    <row r="48" spans="1:20" s="52" customFormat="1" ht="12" customHeight="1">
      <c r="E48" s="208"/>
      <c r="G48" s="415"/>
      <c r="J48" s="414"/>
      <c r="K48" s="414"/>
      <c r="L48" s="414"/>
      <c r="M48" s="414"/>
      <c r="N48" s="414"/>
      <c r="O48" s="414"/>
      <c r="P48" s="414"/>
      <c r="R48" s="414"/>
      <c r="T48" s="40"/>
    </row>
    <row r="49" spans="5:20" s="52" customFormat="1" ht="12" customHeight="1">
      <c r="E49" s="208"/>
      <c r="G49" s="415"/>
      <c r="J49" s="414"/>
      <c r="K49" s="414"/>
      <c r="L49" s="414"/>
      <c r="M49" s="414"/>
      <c r="N49" s="414"/>
      <c r="O49" s="414"/>
      <c r="P49" s="414"/>
      <c r="R49" s="414"/>
      <c r="T49" s="40"/>
    </row>
    <row r="50" spans="5:20" s="52" customFormat="1" ht="12" customHeight="1">
      <c r="E50" s="208"/>
      <c r="G50" s="415"/>
      <c r="J50" s="414"/>
      <c r="K50" s="414"/>
      <c r="L50" s="414"/>
      <c r="M50" s="414"/>
      <c r="N50" s="414"/>
      <c r="O50" s="414"/>
      <c r="P50" s="414"/>
      <c r="R50" s="414"/>
      <c r="T50" s="40"/>
    </row>
    <row r="51" spans="5:20" s="52" customFormat="1" ht="12" customHeight="1">
      <c r="E51" s="208"/>
      <c r="G51" s="415"/>
      <c r="J51" s="414"/>
      <c r="K51" s="414"/>
      <c r="L51" s="414"/>
      <c r="M51" s="414"/>
      <c r="N51" s="414"/>
      <c r="O51" s="414"/>
      <c r="P51" s="414"/>
      <c r="R51" s="414"/>
      <c r="T51" s="40"/>
    </row>
    <row r="52" spans="5:20" s="52" customFormat="1" ht="12" customHeight="1">
      <c r="E52" s="208"/>
      <c r="G52" s="415"/>
      <c r="J52" s="414"/>
      <c r="K52" s="414"/>
      <c r="L52" s="414"/>
      <c r="M52" s="414"/>
      <c r="N52" s="414"/>
      <c r="O52" s="414"/>
      <c r="P52" s="414"/>
      <c r="R52" s="414"/>
      <c r="T52" s="40"/>
    </row>
    <row r="53" spans="5:20" s="52" customFormat="1" ht="12" customHeight="1">
      <c r="E53" s="208"/>
      <c r="G53" s="415"/>
      <c r="J53" s="414"/>
      <c r="K53" s="414"/>
      <c r="L53" s="414"/>
      <c r="M53" s="414"/>
      <c r="N53" s="414"/>
      <c r="O53" s="414"/>
      <c r="P53" s="414"/>
      <c r="R53" s="414"/>
      <c r="T53" s="40"/>
    </row>
    <row r="54" spans="5:20" s="52" customFormat="1" ht="12" customHeight="1">
      <c r="E54" s="208"/>
      <c r="G54" s="415"/>
      <c r="J54" s="414"/>
      <c r="K54" s="414"/>
      <c r="L54" s="414"/>
      <c r="M54" s="414"/>
      <c r="N54" s="414"/>
      <c r="O54" s="414"/>
      <c r="P54" s="414"/>
      <c r="R54" s="414"/>
      <c r="T54" s="40"/>
    </row>
    <row r="55" spans="5:20" s="52" customFormat="1" ht="12" customHeight="1">
      <c r="E55" s="208"/>
      <c r="G55" s="415"/>
      <c r="J55" s="414"/>
      <c r="K55" s="414"/>
      <c r="L55" s="414"/>
      <c r="M55" s="414"/>
      <c r="N55" s="414"/>
      <c r="O55" s="414"/>
      <c r="P55" s="414"/>
      <c r="R55" s="414"/>
      <c r="T55" s="40"/>
    </row>
    <row r="56" spans="5:20" s="52" customFormat="1" ht="12" customHeight="1">
      <c r="E56" s="208"/>
      <c r="G56" s="415"/>
      <c r="J56" s="414"/>
      <c r="K56" s="414"/>
      <c r="L56" s="414"/>
      <c r="M56" s="414"/>
      <c r="N56" s="414"/>
      <c r="O56" s="414"/>
      <c r="P56" s="414"/>
      <c r="R56" s="414"/>
      <c r="T56" s="40"/>
    </row>
    <row r="57" spans="5:20" s="52" customFormat="1" ht="12" customHeight="1">
      <c r="E57" s="208"/>
      <c r="G57" s="415"/>
      <c r="J57" s="414"/>
      <c r="K57" s="414"/>
      <c r="L57" s="414"/>
      <c r="M57" s="414"/>
      <c r="N57" s="414"/>
      <c r="O57" s="414"/>
      <c r="P57" s="414"/>
      <c r="R57" s="414"/>
      <c r="T57" s="40"/>
    </row>
    <row r="58" spans="5:20" s="52" customFormat="1" ht="12" customHeight="1">
      <c r="E58" s="208"/>
      <c r="G58" s="415"/>
      <c r="J58" s="414"/>
      <c r="K58" s="414"/>
      <c r="L58" s="414"/>
      <c r="M58" s="414"/>
      <c r="N58" s="414"/>
      <c r="O58" s="414"/>
      <c r="P58" s="414"/>
      <c r="R58" s="414"/>
      <c r="T58" s="40"/>
    </row>
    <row r="59" spans="5:20" s="52" customFormat="1" ht="12" customHeight="1">
      <c r="E59" s="208"/>
      <c r="G59" s="415"/>
      <c r="J59" s="414"/>
      <c r="K59" s="414"/>
      <c r="L59" s="414"/>
      <c r="M59" s="414"/>
      <c r="N59" s="414"/>
      <c r="O59" s="414"/>
      <c r="P59" s="414"/>
      <c r="R59" s="414"/>
      <c r="T59" s="40"/>
    </row>
    <row r="60" spans="5:20" s="52" customFormat="1" ht="12" customHeight="1">
      <c r="E60" s="208"/>
      <c r="G60" s="415"/>
      <c r="J60" s="414"/>
      <c r="K60" s="414"/>
      <c r="L60" s="414"/>
      <c r="M60" s="414"/>
      <c r="N60" s="414"/>
      <c r="O60" s="414"/>
      <c r="P60" s="414"/>
      <c r="R60" s="414"/>
      <c r="T60" s="40"/>
    </row>
    <row r="61" spans="5:20" s="52" customFormat="1" ht="12" customHeight="1">
      <c r="E61" s="208"/>
      <c r="G61" s="415"/>
      <c r="J61" s="414"/>
      <c r="K61" s="414"/>
      <c r="L61" s="414"/>
      <c r="M61" s="414"/>
      <c r="N61" s="414"/>
      <c r="O61" s="414"/>
      <c r="P61" s="414"/>
      <c r="R61" s="414"/>
      <c r="T61" s="40"/>
    </row>
    <row r="62" spans="5:20" s="52" customFormat="1" ht="12" customHeight="1">
      <c r="E62" s="208"/>
      <c r="G62" s="415"/>
      <c r="J62" s="414"/>
      <c r="K62" s="414"/>
      <c r="L62" s="414"/>
      <c r="M62" s="414"/>
      <c r="N62" s="414"/>
      <c r="O62" s="414"/>
      <c r="P62" s="414"/>
      <c r="R62" s="414"/>
      <c r="T62" s="40"/>
    </row>
    <row r="63" spans="5:20" s="52" customFormat="1" ht="12" customHeight="1">
      <c r="E63" s="208"/>
      <c r="G63" s="415"/>
      <c r="I63" s="52" t="s">
        <v>533</v>
      </c>
      <c r="J63" s="414"/>
      <c r="K63" s="414"/>
      <c r="L63" s="414"/>
      <c r="M63" s="414"/>
      <c r="N63" s="414"/>
      <c r="O63" s="414"/>
      <c r="P63" s="414"/>
      <c r="R63" s="414"/>
      <c r="T63" s="40"/>
    </row>
    <row r="64" spans="5:20" s="52" customFormat="1" ht="12" customHeight="1">
      <c r="E64" s="208"/>
      <c r="G64" s="415"/>
      <c r="J64" s="414"/>
      <c r="K64" s="414"/>
      <c r="L64" s="414"/>
      <c r="M64" s="414"/>
      <c r="N64" s="414"/>
      <c r="O64" s="414"/>
      <c r="P64" s="414"/>
      <c r="R64" s="414"/>
      <c r="T64" s="40"/>
    </row>
    <row r="65" spans="5:20" s="52" customFormat="1" ht="12" customHeight="1">
      <c r="E65" s="208"/>
      <c r="G65" s="415"/>
      <c r="J65" s="414"/>
      <c r="K65" s="414"/>
      <c r="L65" s="414"/>
      <c r="M65" s="414"/>
      <c r="N65" s="414"/>
      <c r="O65" s="414"/>
      <c r="P65" s="414"/>
      <c r="R65" s="414"/>
      <c r="T65" s="40"/>
    </row>
    <row r="66" spans="5:20" s="52" customFormat="1" ht="12" customHeight="1">
      <c r="E66" s="208"/>
      <c r="G66" s="415"/>
      <c r="J66" s="414"/>
      <c r="K66" s="414"/>
      <c r="L66" s="414"/>
      <c r="M66" s="414"/>
      <c r="N66" s="414"/>
      <c r="O66" s="414"/>
      <c r="P66" s="414"/>
      <c r="R66" s="414"/>
      <c r="T66" s="40"/>
    </row>
    <row r="67" spans="5:20" s="52" customFormat="1" ht="12" customHeight="1">
      <c r="E67" s="208"/>
      <c r="G67" s="415"/>
      <c r="J67" s="414"/>
      <c r="K67" s="414"/>
      <c r="L67" s="414"/>
      <c r="M67" s="414"/>
      <c r="N67" s="414"/>
      <c r="O67" s="414"/>
      <c r="P67" s="414"/>
      <c r="R67" s="414"/>
      <c r="T67" s="40"/>
    </row>
    <row r="68" spans="5:20" s="52" customFormat="1" ht="12" customHeight="1">
      <c r="E68" s="208"/>
      <c r="G68" s="415"/>
      <c r="J68" s="414"/>
      <c r="K68" s="414"/>
      <c r="L68" s="414"/>
      <c r="M68" s="414"/>
      <c r="N68" s="414"/>
      <c r="O68" s="414"/>
      <c r="P68" s="414"/>
      <c r="R68" s="414"/>
      <c r="T68" s="40"/>
    </row>
    <row r="69" spans="5:20" s="52" customFormat="1" ht="12" customHeight="1">
      <c r="E69" s="208"/>
      <c r="G69" s="415"/>
      <c r="J69" s="414"/>
      <c r="K69" s="414"/>
      <c r="L69" s="414"/>
      <c r="M69" s="414"/>
      <c r="N69" s="414"/>
      <c r="O69" s="414"/>
      <c r="P69" s="414"/>
      <c r="R69" s="414"/>
      <c r="T69" s="40"/>
    </row>
    <row r="70" spans="5:20" s="52" customFormat="1" ht="12" customHeight="1">
      <c r="E70" s="208"/>
      <c r="G70" s="415"/>
      <c r="J70" s="414"/>
      <c r="K70" s="414"/>
      <c r="L70" s="414"/>
      <c r="M70" s="414"/>
      <c r="N70" s="414"/>
      <c r="O70" s="414"/>
      <c r="P70" s="414"/>
      <c r="R70" s="414"/>
      <c r="T70" s="40"/>
    </row>
    <row r="71" spans="5:20" s="52" customFormat="1" ht="12" customHeight="1">
      <c r="E71" s="208"/>
      <c r="G71" s="415"/>
      <c r="J71" s="414"/>
      <c r="K71" s="414"/>
      <c r="L71" s="414"/>
      <c r="M71" s="414"/>
      <c r="N71" s="414"/>
      <c r="O71" s="414"/>
      <c r="P71" s="414"/>
      <c r="R71" s="414"/>
      <c r="T71" s="40"/>
    </row>
    <row r="72" spans="5:20" s="52" customFormat="1" ht="12" customHeight="1">
      <c r="E72" s="208"/>
      <c r="G72" s="415"/>
      <c r="J72" s="414"/>
      <c r="K72" s="414"/>
      <c r="L72" s="414"/>
      <c r="M72" s="414"/>
      <c r="N72" s="414"/>
      <c r="O72" s="414"/>
      <c r="P72" s="414"/>
      <c r="R72" s="414"/>
      <c r="T72" s="40"/>
    </row>
    <row r="73" spans="5:20" s="52" customFormat="1" ht="12" customHeight="1">
      <c r="E73" s="208"/>
      <c r="G73" s="415"/>
      <c r="J73" s="414"/>
      <c r="K73" s="414"/>
      <c r="L73" s="414"/>
      <c r="M73" s="414"/>
      <c r="N73" s="414"/>
      <c r="O73" s="414"/>
      <c r="P73" s="414"/>
      <c r="R73" s="414"/>
      <c r="T73" s="40"/>
    </row>
    <row r="74" spans="5:20" s="52" customFormat="1" ht="12" customHeight="1">
      <c r="E74" s="208"/>
      <c r="G74" s="415"/>
      <c r="J74" s="414"/>
      <c r="K74" s="414"/>
      <c r="L74" s="414"/>
      <c r="M74" s="414"/>
      <c r="N74" s="414"/>
      <c r="O74" s="414"/>
      <c r="P74" s="414"/>
      <c r="R74" s="414"/>
      <c r="T74" s="40"/>
    </row>
    <row r="75" spans="5:20" s="52" customFormat="1" ht="12" customHeight="1">
      <c r="E75" s="208"/>
      <c r="G75" s="415"/>
      <c r="J75" s="414"/>
      <c r="K75" s="414"/>
      <c r="L75" s="414"/>
      <c r="M75" s="414"/>
      <c r="N75" s="414"/>
      <c r="O75" s="414"/>
      <c r="P75" s="414"/>
      <c r="R75" s="414"/>
      <c r="T75" s="40"/>
    </row>
    <row r="76" spans="5:20" s="52" customFormat="1" ht="12" customHeight="1">
      <c r="E76" s="208"/>
      <c r="G76" s="415"/>
      <c r="J76" s="414"/>
      <c r="K76" s="414"/>
      <c r="L76" s="414"/>
      <c r="M76" s="414"/>
      <c r="N76" s="414"/>
      <c r="O76" s="414"/>
      <c r="P76" s="414"/>
      <c r="R76" s="414"/>
      <c r="T76" s="40"/>
    </row>
    <row r="77" spans="5:20" s="52" customFormat="1" ht="12" customHeight="1">
      <c r="E77" s="208"/>
      <c r="G77" s="415"/>
      <c r="J77" s="414"/>
      <c r="K77" s="414"/>
      <c r="L77" s="414"/>
      <c r="M77" s="414"/>
      <c r="N77" s="414"/>
      <c r="O77" s="414"/>
      <c r="P77" s="414"/>
      <c r="R77" s="414"/>
      <c r="T77" s="40"/>
    </row>
    <row r="78" spans="5:20" s="52" customFormat="1" ht="12" customHeight="1">
      <c r="E78" s="208"/>
      <c r="G78" s="415"/>
      <c r="J78" s="414"/>
      <c r="K78" s="414"/>
      <c r="L78" s="414"/>
      <c r="M78" s="414"/>
      <c r="N78" s="414"/>
      <c r="O78" s="414"/>
      <c r="P78" s="414"/>
      <c r="R78" s="414"/>
      <c r="T78" s="40"/>
    </row>
    <row r="79" spans="5:20" s="52" customFormat="1" ht="12" customHeight="1">
      <c r="E79" s="208"/>
      <c r="G79" s="415"/>
      <c r="J79" s="414"/>
      <c r="K79" s="414"/>
      <c r="L79" s="414"/>
      <c r="M79" s="414"/>
      <c r="N79" s="414"/>
      <c r="O79" s="414"/>
      <c r="P79" s="414"/>
      <c r="R79" s="414"/>
      <c r="T79" s="40"/>
    </row>
    <row r="80" spans="5:20" s="52" customFormat="1" ht="12" customHeight="1">
      <c r="E80" s="208"/>
      <c r="G80" s="415"/>
      <c r="J80" s="414"/>
      <c r="K80" s="414"/>
      <c r="L80" s="414"/>
      <c r="M80" s="414"/>
      <c r="N80" s="414"/>
      <c r="O80" s="414"/>
      <c r="P80" s="414"/>
      <c r="R80" s="414"/>
      <c r="T80" s="40"/>
    </row>
    <row r="81" spans="5:20" s="52" customFormat="1" ht="12" customHeight="1">
      <c r="E81" s="208"/>
      <c r="G81" s="415"/>
      <c r="J81" s="414"/>
      <c r="K81" s="414"/>
      <c r="L81" s="414"/>
      <c r="M81" s="414"/>
      <c r="N81" s="414"/>
      <c r="O81" s="414"/>
      <c r="P81" s="414"/>
      <c r="R81" s="414"/>
      <c r="T81" s="40"/>
    </row>
    <row r="82" spans="5:20" s="52" customFormat="1" ht="12" customHeight="1">
      <c r="E82" s="208"/>
      <c r="G82" s="415"/>
      <c r="J82" s="414"/>
      <c r="K82" s="414"/>
      <c r="L82" s="414"/>
      <c r="M82" s="414"/>
      <c r="N82" s="414"/>
      <c r="O82" s="414"/>
      <c r="P82" s="414"/>
      <c r="R82" s="414"/>
      <c r="T82" s="40"/>
    </row>
    <row r="83" spans="5:20" s="52" customFormat="1" ht="12" customHeight="1">
      <c r="E83" s="208"/>
      <c r="G83" s="415"/>
      <c r="J83" s="414"/>
      <c r="K83" s="414"/>
      <c r="L83" s="414"/>
      <c r="M83" s="414"/>
      <c r="N83" s="414"/>
      <c r="O83" s="414"/>
      <c r="P83" s="414"/>
      <c r="R83" s="414"/>
      <c r="T83" s="40"/>
    </row>
    <row r="84" spans="5:20" s="52" customFormat="1" ht="12" customHeight="1">
      <c r="E84" s="208"/>
      <c r="G84" s="415"/>
      <c r="J84" s="414"/>
      <c r="K84" s="414"/>
      <c r="L84" s="414"/>
      <c r="M84" s="414"/>
      <c r="N84" s="414"/>
      <c r="O84" s="414"/>
      <c r="P84" s="414"/>
      <c r="R84" s="414"/>
      <c r="T84" s="40"/>
    </row>
    <row r="85" spans="5:20" s="52" customFormat="1" ht="12" customHeight="1">
      <c r="E85" s="208"/>
      <c r="G85" s="415"/>
      <c r="J85" s="414"/>
      <c r="K85" s="414"/>
      <c r="L85" s="414"/>
      <c r="M85" s="414"/>
      <c r="N85" s="414"/>
      <c r="O85" s="414"/>
      <c r="P85" s="414"/>
      <c r="R85" s="414"/>
      <c r="T85" s="40"/>
    </row>
    <row r="86" spans="5:20" s="52" customFormat="1" ht="12" customHeight="1">
      <c r="E86" s="208"/>
      <c r="G86" s="415"/>
      <c r="J86" s="414"/>
      <c r="K86" s="414"/>
      <c r="L86" s="414"/>
      <c r="M86" s="414"/>
      <c r="N86" s="414"/>
      <c r="O86" s="414"/>
      <c r="P86" s="414"/>
      <c r="R86" s="414"/>
      <c r="T86" s="40"/>
    </row>
    <row r="87" spans="5:20" s="52" customFormat="1" ht="12" customHeight="1">
      <c r="E87" s="208"/>
      <c r="G87" s="415"/>
      <c r="J87" s="414"/>
      <c r="K87" s="414"/>
      <c r="L87" s="414"/>
      <c r="M87" s="414"/>
      <c r="N87" s="414"/>
      <c r="O87" s="414"/>
      <c r="P87" s="414"/>
      <c r="R87" s="414"/>
      <c r="T87" s="40"/>
    </row>
    <row r="88" spans="5:20" s="52" customFormat="1" ht="12" customHeight="1">
      <c r="E88" s="208"/>
      <c r="G88" s="415"/>
      <c r="J88" s="414"/>
      <c r="K88" s="414"/>
      <c r="L88" s="414"/>
      <c r="M88" s="414"/>
      <c r="N88" s="414"/>
      <c r="O88" s="414"/>
      <c r="P88" s="414"/>
      <c r="R88" s="414"/>
      <c r="T88" s="40"/>
    </row>
    <row r="89" spans="5:20" s="52" customFormat="1" ht="12" customHeight="1">
      <c r="E89" s="208"/>
      <c r="G89" s="415"/>
      <c r="J89" s="414"/>
      <c r="K89" s="414"/>
      <c r="L89" s="414"/>
      <c r="M89" s="414"/>
      <c r="N89" s="414"/>
      <c r="O89" s="414"/>
      <c r="P89" s="414"/>
      <c r="R89" s="414"/>
      <c r="T89" s="40"/>
    </row>
    <row r="90" spans="5:20" s="52" customFormat="1" ht="12" customHeight="1">
      <c r="E90" s="208"/>
      <c r="G90" s="415"/>
      <c r="J90" s="414"/>
      <c r="K90" s="414"/>
      <c r="L90" s="414"/>
      <c r="M90" s="414"/>
      <c r="N90" s="414"/>
      <c r="O90" s="414"/>
      <c r="P90" s="414"/>
      <c r="R90" s="414"/>
      <c r="T90" s="40"/>
    </row>
    <row r="91" spans="5:20" s="52" customFormat="1" ht="12" customHeight="1">
      <c r="E91" s="208"/>
      <c r="G91" s="415"/>
      <c r="J91" s="414"/>
      <c r="K91" s="414"/>
      <c r="L91" s="414"/>
      <c r="M91" s="414"/>
      <c r="N91" s="414"/>
      <c r="O91" s="414"/>
      <c r="P91" s="414"/>
      <c r="R91" s="414"/>
      <c r="T91" s="40"/>
    </row>
    <row r="92" spans="5:20" s="52" customFormat="1" ht="12" customHeight="1">
      <c r="E92" s="208"/>
      <c r="G92" s="415"/>
      <c r="J92" s="414"/>
      <c r="K92" s="414"/>
      <c r="L92" s="414"/>
      <c r="M92" s="414"/>
      <c r="N92" s="414"/>
      <c r="O92" s="414"/>
      <c r="P92" s="414"/>
      <c r="R92" s="414"/>
      <c r="T92" s="40"/>
    </row>
    <row r="93" spans="5:20" s="52" customFormat="1" ht="12" customHeight="1">
      <c r="E93" s="208"/>
      <c r="G93" s="415"/>
      <c r="J93" s="414"/>
      <c r="K93" s="414"/>
      <c r="L93" s="414"/>
      <c r="M93" s="414"/>
      <c r="N93" s="414"/>
      <c r="O93" s="414"/>
      <c r="P93" s="414"/>
      <c r="R93" s="414"/>
      <c r="T93" s="40"/>
    </row>
    <row r="94" spans="5:20" s="52" customFormat="1" ht="12" customHeight="1">
      <c r="E94" s="208"/>
      <c r="G94" s="415"/>
      <c r="J94" s="414"/>
      <c r="K94" s="414"/>
      <c r="L94" s="414"/>
      <c r="M94" s="414"/>
      <c r="N94" s="414"/>
      <c r="O94" s="414"/>
      <c r="P94" s="414"/>
      <c r="R94" s="414"/>
      <c r="T94" s="40"/>
    </row>
    <row r="95" spans="5:20" s="52" customFormat="1" ht="12" customHeight="1">
      <c r="E95" s="208"/>
      <c r="G95" s="415"/>
      <c r="J95" s="414"/>
      <c r="K95" s="414"/>
      <c r="L95" s="414"/>
      <c r="M95" s="414"/>
      <c r="N95" s="414"/>
      <c r="O95" s="414"/>
      <c r="P95" s="414"/>
      <c r="R95" s="414"/>
      <c r="T95" s="40"/>
    </row>
    <row r="96" spans="5:20" s="52" customFormat="1" ht="12" customHeight="1">
      <c r="E96" s="208"/>
      <c r="G96" s="415"/>
      <c r="J96" s="414"/>
      <c r="K96" s="414"/>
      <c r="L96" s="414"/>
      <c r="M96" s="414"/>
      <c r="N96" s="414"/>
      <c r="O96" s="414"/>
      <c r="P96" s="414"/>
      <c r="R96" s="414"/>
      <c r="T96" s="40"/>
    </row>
    <row r="97" spans="5:20" s="52" customFormat="1" ht="12" customHeight="1">
      <c r="E97" s="208"/>
      <c r="G97" s="415"/>
      <c r="J97" s="414"/>
      <c r="K97" s="414"/>
      <c r="L97" s="414"/>
      <c r="M97" s="414"/>
      <c r="N97" s="414"/>
      <c r="O97" s="414"/>
      <c r="P97" s="414"/>
      <c r="R97" s="414"/>
      <c r="T97" s="40"/>
    </row>
    <row r="98" spans="5:20" s="52" customFormat="1" ht="12" customHeight="1">
      <c r="E98" s="208"/>
      <c r="G98" s="415"/>
      <c r="J98" s="414"/>
      <c r="K98" s="414"/>
      <c r="L98" s="414"/>
      <c r="M98" s="414"/>
      <c r="N98" s="414"/>
      <c r="O98" s="414"/>
      <c r="P98" s="414"/>
      <c r="R98" s="414"/>
      <c r="T98" s="40"/>
    </row>
    <row r="99" spans="5:20" s="52" customFormat="1" ht="12" customHeight="1">
      <c r="E99" s="208"/>
      <c r="G99" s="415"/>
      <c r="J99" s="414"/>
      <c r="K99" s="414"/>
      <c r="L99" s="414"/>
      <c r="M99" s="414"/>
      <c r="N99" s="414"/>
      <c r="O99" s="414"/>
      <c r="P99" s="414"/>
      <c r="R99" s="414"/>
      <c r="T99" s="40"/>
    </row>
    <row r="100" spans="5:20" s="52" customFormat="1" ht="12" customHeight="1">
      <c r="E100" s="208"/>
      <c r="G100" s="415"/>
      <c r="J100" s="414"/>
      <c r="K100" s="414"/>
      <c r="L100" s="414"/>
      <c r="M100" s="414"/>
      <c r="N100" s="414"/>
      <c r="O100" s="414"/>
      <c r="P100" s="414"/>
      <c r="R100" s="414"/>
      <c r="T100" s="40"/>
    </row>
    <row r="101" spans="5:20" s="52" customFormat="1" ht="12" customHeight="1">
      <c r="E101" s="208"/>
      <c r="G101" s="415"/>
      <c r="J101" s="414"/>
      <c r="K101" s="414"/>
      <c r="L101" s="414"/>
      <c r="M101" s="414"/>
      <c r="N101" s="414"/>
      <c r="O101" s="414"/>
      <c r="P101" s="414"/>
      <c r="R101" s="414"/>
      <c r="T101" s="40"/>
    </row>
    <row r="102" spans="5:20" s="52" customFormat="1" ht="12" customHeight="1">
      <c r="E102" s="208"/>
      <c r="G102" s="415"/>
      <c r="J102" s="414"/>
      <c r="K102" s="414"/>
      <c r="L102" s="414"/>
      <c r="M102" s="414"/>
      <c r="N102" s="414"/>
      <c r="O102" s="414"/>
      <c r="P102" s="414"/>
      <c r="R102" s="414"/>
      <c r="T102" s="40"/>
    </row>
    <row r="103" spans="5:20" s="52" customFormat="1" ht="12" customHeight="1">
      <c r="E103" s="208"/>
      <c r="G103" s="415"/>
      <c r="J103" s="414"/>
      <c r="K103" s="414"/>
      <c r="L103" s="414"/>
      <c r="M103" s="414"/>
      <c r="N103" s="414"/>
      <c r="O103" s="414"/>
      <c r="P103" s="414"/>
      <c r="R103" s="414"/>
      <c r="T103" s="40"/>
    </row>
    <row r="104" spans="5:20" s="52" customFormat="1" ht="12" customHeight="1">
      <c r="E104" s="208"/>
      <c r="G104" s="415"/>
      <c r="J104" s="414"/>
      <c r="K104" s="414"/>
      <c r="L104" s="414"/>
      <c r="M104" s="414"/>
      <c r="N104" s="414"/>
      <c r="O104" s="414"/>
      <c r="P104" s="414"/>
      <c r="R104" s="414"/>
      <c r="T104" s="40"/>
    </row>
    <row r="105" spans="5:20" s="52" customFormat="1" ht="12" customHeight="1">
      <c r="E105" s="208"/>
      <c r="G105" s="415"/>
      <c r="J105" s="414"/>
      <c r="K105" s="414"/>
      <c r="L105" s="414"/>
      <c r="M105" s="414"/>
      <c r="N105" s="414"/>
      <c r="O105" s="414"/>
      <c r="P105" s="414"/>
      <c r="R105" s="414"/>
      <c r="T105" s="40"/>
    </row>
    <row r="106" spans="5:20" s="52" customFormat="1" ht="12" customHeight="1">
      <c r="E106" s="208"/>
      <c r="G106" s="415"/>
      <c r="J106" s="414"/>
      <c r="K106" s="414"/>
      <c r="L106" s="414"/>
      <c r="M106" s="414"/>
      <c r="N106" s="414"/>
      <c r="O106" s="414"/>
      <c r="P106" s="414"/>
      <c r="R106" s="414"/>
      <c r="T106" s="40"/>
    </row>
    <row r="107" spans="5:20" s="52" customFormat="1" ht="12" customHeight="1">
      <c r="E107" s="208"/>
      <c r="G107" s="415"/>
      <c r="J107" s="414"/>
      <c r="K107" s="414"/>
      <c r="L107" s="414"/>
      <c r="M107" s="414"/>
      <c r="N107" s="414"/>
      <c r="O107" s="414"/>
      <c r="P107" s="414"/>
      <c r="R107" s="414"/>
      <c r="T107" s="40"/>
    </row>
    <row r="108" spans="5:20" s="52" customFormat="1" ht="12" customHeight="1">
      <c r="E108" s="208"/>
      <c r="G108" s="415"/>
      <c r="J108" s="414"/>
      <c r="K108" s="414"/>
      <c r="L108" s="414"/>
      <c r="M108" s="414"/>
      <c r="N108" s="414"/>
      <c r="O108" s="414"/>
      <c r="P108" s="414"/>
      <c r="R108" s="414"/>
      <c r="T108" s="40"/>
    </row>
    <row r="109" spans="5:20" s="52" customFormat="1" ht="12" customHeight="1">
      <c r="E109" s="208"/>
      <c r="G109" s="415"/>
      <c r="J109" s="414"/>
      <c r="K109" s="414"/>
      <c r="L109" s="414"/>
      <c r="M109" s="414"/>
      <c r="N109" s="414"/>
      <c r="O109" s="414"/>
      <c r="P109" s="414"/>
      <c r="R109" s="414"/>
      <c r="T109" s="40"/>
    </row>
    <row r="110" spans="5:20" s="52" customFormat="1" ht="12" customHeight="1">
      <c r="E110" s="208"/>
      <c r="G110" s="415"/>
      <c r="J110" s="414"/>
      <c r="K110" s="414"/>
      <c r="L110" s="414"/>
      <c r="M110" s="414"/>
      <c r="N110" s="414"/>
      <c r="O110" s="414"/>
      <c r="P110" s="414"/>
      <c r="R110" s="414"/>
      <c r="T110" s="40"/>
    </row>
    <row r="111" spans="5:20" s="52" customFormat="1" ht="12" customHeight="1">
      <c r="E111" s="208"/>
      <c r="G111" s="415"/>
      <c r="J111" s="414"/>
      <c r="K111" s="414"/>
      <c r="L111" s="414"/>
      <c r="M111" s="414"/>
      <c r="N111" s="414"/>
      <c r="O111" s="414"/>
      <c r="P111" s="414"/>
      <c r="R111" s="414"/>
      <c r="T111" s="40"/>
    </row>
    <row r="112" spans="5:20" s="52" customFormat="1" ht="12" customHeight="1">
      <c r="E112" s="208"/>
      <c r="G112" s="415"/>
      <c r="J112" s="414"/>
      <c r="K112" s="414"/>
      <c r="L112" s="414"/>
      <c r="M112" s="414"/>
      <c r="N112" s="414"/>
      <c r="O112" s="414"/>
      <c r="P112" s="414"/>
      <c r="R112" s="414"/>
      <c r="T112" s="40"/>
    </row>
    <row r="113" spans="5:20" s="52" customFormat="1" ht="12" customHeight="1">
      <c r="E113" s="208"/>
      <c r="G113" s="415"/>
      <c r="J113" s="414"/>
      <c r="K113" s="414"/>
      <c r="L113" s="414"/>
      <c r="M113" s="414"/>
      <c r="N113" s="414"/>
      <c r="O113" s="414"/>
      <c r="P113" s="414"/>
      <c r="R113" s="414"/>
      <c r="T113" s="40"/>
    </row>
    <row r="114" spans="5:20" s="52" customFormat="1" ht="12" customHeight="1">
      <c r="E114" s="208"/>
      <c r="G114" s="415"/>
      <c r="J114" s="414"/>
      <c r="K114" s="414"/>
      <c r="L114" s="414"/>
      <c r="M114" s="414"/>
      <c r="N114" s="414"/>
      <c r="O114" s="414"/>
      <c r="P114" s="414"/>
      <c r="R114" s="414"/>
      <c r="T114" s="40"/>
    </row>
    <row r="115" spans="5:20" s="52" customFormat="1" ht="12" customHeight="1">
      <c r="E115" s="208"/>
      <c r="G115" s="415"/>
      <c r="J115" s="414"/>
      <c r="K115" s="414"/>
      <c r="L115" s="414"/>
      <c r="M115" s="414"/>
      <c r="N115" s="414"/>
      <c r="O115" s="414"/>
      <c r="P115" s="414"/>
      <c r="R115" s="414"/>
      <c r="T115" s="40"/>
    </row>
    <row r="116" spans="5:20" s="52" customFormat="1" ht="12" customHeight="1">
      <c r="E116" s="208"/>
      <c r="G116" s="415"/>
      <c r="J116" s="414"/>
      <c r="K116" s="414"/>
      <c r="L116" s="414"/>
      <c r="M116" s="414"/>
      <c r="N116" s="414"/>
      <c r="O116" s="414"/>
      <c r="P116" s="414"/>
      <c r="R116" s="414"/>
      <c r="T116" s="40"/>
    </row>
    <row r="117" spans="5:20" s="52" customFormat="1" ht="12" customHeight="1">
      <c r="E117" s="208"/>
      <c r="G117" s="415"/>
      <c r="J117" s="414"/>
      <c r="K117" s="414"/>
      <c r="L117" s="414"/>
      <c r="M117" s="414"/>
      <c r="N117" s="414"/>
      <c r="O117" s="414"/>
      <c r="P117" s="414"/>
      <c r="R117" s="414"/>
      <c r="T117" s="40"/>
    </row>
    <row r="118" spans="5:20" s="52" customFormat="1" ht="12" customHeight="1">
      <c r="E118" s="208"/>
      <c r="G118" s="415"/>
      <c r="J118" s="414"/>
      <c r="K118" s="414"/>
      <c r="L118" s="414"/>
      <c r="M118" s="414"/>
      <c r="N118" s="414"/>
      <c r="O118" s="414"/>
      <c r="P118" s="414"/>
      <c r="R118" s="414"/>
      <c r="T118" s="40"/>
    </row>
    <row r="119" spans="5:20" s="52" customFormat="1" ht="12" customHeight="1">
      <c r="E119" s="208"/>
      <c r="G119" s="415"/>
      <c r="J119" s="414"/>
      <c r="K119" s="414"/>
      <c r="L119" s="414"/>
      <c r="M119" s="414"/>
      <c r="N119" s="414"/>
      <c r="O119" s="414"/>
      <c r="P119" s="414"/>
      <c r="R119" s="414"/>
      <c r="T119" s="40"/>
    </row>
    <row r="120" spans="5:20" s="52" customFormat="1" ht="12" customHeight="1">
      <c r="E120" s="208"/>
      <c r="G120" s="415"/>
      <c r="J120" s="414"/>
      <c r="K120" s="414"/>
      <c r="L120" s="414"/>
      <c r="M120" s="414"/>
      <c r="N120" s="414"/>
      <c r="O120" s="414"/>
      <c r="P120" s="414"/>
      <c r="R120" s="414"/>
      <c r="T120" s="40"/>
    </row>
    <row r="121" spans="5:20" s="52" customFormat="1" ht="12" customHeight="1">
      <c r="E121" s="208"/>
      <c r="G121" s="415"/>
      <c r="J121" s="414"/>
      <c r="K121" s="414"/>
      <c r="L121" s="414"/>
      <c r="M121" s="414"/>
      <c r="N121" s="414"/>
      <c r="O121" s="414"/>
      <c r="P121" s="414"/>
      <c r="R121" s="414"/>
      <c r="T121" s="40"/>
    </row>
    <row r="122" spans="5:20" s="52" customFormat="1" ht="12" customHeight="1">
      <c r="E122" s="208"/>
      <c r="G122" s="415"/>
      <c r="J122" s="414"/>
      <c r="K122" s="414"/>
      <c r="L122" s="414"/>
      <c r="M122" s="414"/>
      <c r="N122" s="414"/>
      <c r="O122" s="414"/>
      <c r="P122" s="414"/>
      <c r="R122" s="414"/>
      <c r="T122" s="40"/>
    </row>
    <row r="123" spans="5:20" s="52" customFormat="1" ht="12" customHeight="1">
      <c r="E123" s="208"/>
      <c r="G123" s="415"/>
      <c r="J123" s="414"/>
      <c r="K123" s="414"/>
      <c r="L123" s="414"/>
      <c r="M123" s="414"/>
      <c r="N123" s="414"/>
      <c r="O123" s="414"/>
      <c r="P123" s="414"/>
      <c r="R123" s="414"/>
      <c r="T123" s="40"/>
    </row>
    <row r="124" spans="5:20" s="52" customFormat="1" ht="12" customHeight="1">
      <c r="E124" s="208"/>
      <c r="G124" s="415"/>
      <c r="J124" s="414"/>
      <c r="K124" s="414"/>
      <c r="L124" s="414"/>
      <c r="M124" s="414"/>
      <c r="N124" s="414"/>
      <c r="O124" s="414"/>
      <c r="P124" s="414"/>
      <c r="R124" s="414"/>
      <c r="T124" s="40"/>
    </row>
    <row r="125" spans="5:20" s="52" customFormat="1" ht="12" customHeight="1">
      <c r="E125" s="208"/>
      <c r="G125" s="415"/>
      <c r="J125" s="414"/>
      <c r="K125" s="414"/>
      <c r="L125" s="414"/>
      <c r="M125" s="414"/>
      <c r="N125" s="414"/>
      <c r="O125" s="414"/>
      <c r="P125" s="414"/>
      <c r="R125" s="414"/>
      <c r="T125" s="40"/>
    </row>
    <row r="126" spans="5:20" s="52" customFormat="1" ht="12" customHeight="1">
      <c r="E126" s="208"/>
      <c r="G126" s="415"/>
      <c r="J126" s="414"/>
      <c r="K126" s="414"/>
      <c r="L126" s="414"/>
      <c r="M126" s="414"/>
      <c r="N126" s="414"/>
      <c r="O126" s="414"/>
      <c r="P126" s="414"/>
      <c r="R126" s="414"/>
      <c r="T126" s="40"/>
    </row>
    <row r="127" spans="5:20" s="52" customFormat="1" ht="12" customHeight="1">
      <c r="E127" s="208"/>
      <c r="G127" s="415"/>
      <c r="J127" s="414"/>
      <c r="K127" s="414"/>
      <c r="L127" s="414"/>
      <c r="M127" s="414"/>
      <c r="N127" s="414"/>
      <c r="O127" s="414"/>
      <c r="P127" s="414"/>
      <c r="R127" s="414"/>
      <c r="T127" s="40"/>
    </row>
    <row r="128" spans="5:20" s="52" customFormat="1" ht="12" customHeight="1">
      <c r="E128" s="208"/>
      <c r="G128" s="415"/>
      <c r="J128" s="414"/>
      <c r="K128" s="414"/>
      <c r="L128" s="414"/>
      <c r="M128" s="414"/>
      <c r="N128" s="414"/>
      <c r="O128" s="414"/>
      <c r="P128" s="414"/>
      <c r="R128" s="414"/>
      <c r="T128" s="40"/>
    </row>
    <row r="129" spans="5:20" s="52" customFormat="1" ht="12" customHeight="1">
      <c r="E129" s="208"/>
      <c r="G129" s="415"/>
      <c r="J129" s="414"/>
      <c r="K129" s="414"/>
      <c r="L129" s="414"/>
      <c r="M129" s="414"/>
      <c r="N129" s="414"/>
      <c r="O129" s="414"/>
      <c r="P129" s="414"/>
      <c r="R129" s="414"/>
      <c r="T129" s="40"/>
    </row>
    <row r="130" spans="5:20" s="52" customFormat="1" ht="12" customHeight="1">
      <c r="E130" s="208"/>
      <c r="G130" s="415"/>
      <c r="J130" s="414"/>
      <c r="K130" s="414"/>
      <c r="L130" s="414"/>
      <c r="M130" s="414"/>
      <c r="N130" s="414"/>
      <c r="O130" s="414"/>
      <c r="P130" s="414"/>
      <c r="R130" s="414"/>
      <c r="T130" s="40"/>
    </row>
    <row r="131" spans="5:20" s="52" customFormat="1" ht="12" customHeight="1">
      <c r="E131" s="208"/>
      <c r="G131" s="415"/>
      <c r="J131" s="414"/>
      <c r="K131" s="414"/>
      <c r="L131" s="414"/>
      <c r="M131" s="414"/>
      <c r="N131" s="414"/>
      <c r="O131" s="414"/>
      <c r="P131" s="414"/>
      <c r="R131" s="414"/>
      <c r="T131" s="40"/>
    </row>
    <row r="132" spans="5:20" s="52" customFormat="1" ht="10.5">
      <c r="E132" s="208"/>
      <c r="G132" s="415"/>
      <c r="J132" s="414"/>
      <c r="K132" s="414"/>
      <c r="L132" s="414"/>
      <c r="M132" s="414"/>
      <c r="N132" s="414"/>
      <c r="O132" s="414"/>
      <c r="P132" s="414"/>
      <c r="R132" s="414"/>
      <c r="T132" s="40"/>
    </row>
    <row r="133" spans="5:20" s="52" customFormat="1" ht="10.5">
      <c r="E133" s="208"/>
      <c r="G133" s="415"/>
      <c r="J133" s="414"/>
      <c r="K133" s="414"/>
      <c r="L133" s="414"/>
      <c r="M133" s="414"/>
      <c r="N133" s="414"/>
      <c r="O133" s="414"/>
      <c r="P133" s="414"/>
      <c r="R133" s="414"/>
      <c r="T133" s="40"/>
    </row>
    <row r="134" spans="5:20" s="52" customFormat="1" ht="10.5">
      <c r="E134" s="208"/>
      <c r="G134" s="415"/>
      <c r="J134" s="414"/>
      <c r="K134" s="414"/>
      <c r="L134" s="414"/>
      <c r="M134" s="414"/>
      <c r="N134" s="414"/>
      <c r="O134" s="414"/>
      <c r="P134" s="414"/>
      <c r="R134" s="414"/>
      <c r="T134" s="40"/>
    </row>
    <row r="135" spans="5:20" s="52" customFormat="1" ht="10.5">
      <c r="E135" s="208"/>
      <c r="G135" s="415"/>
      <c r="J135" s="414"/>
      <c r="K135" s="414"/>
      <c r="L135" s="414"/>
      <c r="M135" s="414"/>
      <c r="N135" s="414"/>
      <c r="O135" s="414"/>
      <c r="P135" s="414"/>
      <c r="R135" s="414"/>
      <c r="T135" s="40"/>
    </row>
    <row r="136" spans="5:20" s="52" customFormat="1" ht="10.5">
      <c r="E136" s="208"/>
      <c r="G136" s="415"/>
      <c r="J136" s="414"/>
      <c r="K136" s="414"/>
      <c r="L136" s="414"/>
      <c r="M136" s="414"/>
      <c r="N136" s="414"/>
      <c r="O136" s="414"/>
      <c r="P136" s="414"/>
      <c r="R136" s="414"/>
      <c r="T136" s="40"/>
    </row>
    <row r="137" spans="5:20" s="52" customFormat="1" ht="10.5">
      <c r="E137" s="208"/>
      <c r="G137" s="415"/>
      <c r="J137" s="414"/>
      <c r="K137" s="414"/>
      <c r="L137" s="414"/>
      <c r="M137" s="414"/>
      <c r="N137" s="414"/>
      <c r="O137" s="414"/>
      <c r="P137" s="414"/>
      <c r="R137" s="414"/>
      <c r="T137" s="40"/>
    </row>
    <row r="138" spans="5:20" s="52" customFormat="1" ht="10.5">
      <c r="E138" s="208"/>
      <c r="G138" s="415"/>
      <c r="J138" s="414"/>
      <c r="K138" s="414"/>
      <c r="L138" s="414"/>
      <c r="M138" s="414"/>
      <c r="N138" s="414"/>
      <c r="O138" s="414"/>
      <c r="P138" s="414"/>
      <c r="R138" s="414"/>
      <c r="T138" s="40"/>
    </row>
    <row r="139" spans="5:20" s="52" customFormat="1" ht="10.5">
      <c r="E139" s="208"/>
      <c r="G139" s="415"/>
      <c r="J139" s="414"/>
      <c r="K139" s="414"/>
      <c r="L139" s="414"/>
      <c r="M139" s="414"/>
      <c r="N139" s="414"/>
      <c r="O139" s="414"/>
      <c r="P139" s="414"/>
      <c r="R139" s="414"/>
      <c r="T139" s="40"/>
    </row>
    <row r="140" spans="5:20" s="52" customFormat="1" ht="10.5">
      <c r="E140" s="208"/>
      <c r="G140" s="415"/>
      <c r="J140" s="414"/>
      <c r="K140" s="414"/>
      <c r="L140" s="414"/>
      <c r="M140" s="414"/>
      <c r="N140" s="414"/>
      <c r="O140" s="414"/>
      <c r="P140" s="414"/>
      <c r="R140" s="414"/>
      <c r="T140" s="40"/>
    </row>
    <row r="141" spans="5:20" s="52" customFormat="1" ht="10.5">
      <c r="E141" s="208"/>
      <c r="G141" s="415"/>
      <c r="J141" s="414"/>
      <c r="K141" s="414"/>
      <c r="L141" s="414"/>
      <c r="M141" s="414"/>
      <c r="N141" s="414"/>
      <c r="O141" s="414"/>
      <c r="P141" s="414"/>
      <c r="R141" s="414"/>
      <c r="T141" s="40"/>
    </row>
    <row r="142" spans="5:20" s="52" customFormat="1" ht="10.5">
      <c r="E142" s="208"/>
      <c r="G142" s="415"/>
      <c r="J142" s="414"/>
      <c r="K142" s="414"/>
      <c r="L142" s="414"/>
      <c r="M142" s="414"/>
      <c r="N142" s="414"/>
      <c r="O142" s="414"/>
      <c r="P142" s="414"/>
      <c r="R142" s="414"/>
      <c r="T142" s="40"/>
    </row>
    <row r="143" spans="5:20" s="52" customFormat="1" ht="10.5">
      <c r="E143" s="208"/>
      <c r="G143" s="415"/>
      <c r="J143" s="414"/>
      <c r="K143" s="414"/>
      <c r="L143" s="414"/>
      <c r="M143" s="414"/>
      <c r="N143" s="414"/>
      <c r="O143" s="414"/>
      <c r="P143" s="414"/>
      <c r="R143" s="414"/>
      <c r="T143" s="40"/>
    </row>
    <row r="144" spans="5:20" s="52" customFormat="1" ht="10.5">
      <c r="E144" s="208"/>
      <c r="G144" s="415"/>
      <c r="J144" s="414"/>
      <c r="K144" s="414"/>
      <c r="L144" s="414"/>
      <c r="M144" s="414"/>
      <c r="N144" s="414"/>
      <c r="O144" s="414"/>
      <c r="P144" s="414"/>
      <c r="R144" s="414"/>
      <c r="T144" s="40"/>
    </row>
    <row r="145" spans="5:20" s="52" customFormat="1" ht="10.5">
      <c r="E145" s="208"/>
      <c r="G145" s="415"/>
      <c r="J145" s="414"/>
      <c r="K145" s="414"/>
      <c r="L145" s="414"/>
      <c r="M145" s="414"/>
      <c r="N145" s="414"/>
      <c r="O145" s="414"/>
      <c r="P145" s="414"/>
      <c r="R145" s="414"/>
      <c r="T145" s="40"/>
    </row>
    <row r="146" spans="5:20" s="52" customFormat="1" ht="10.5">
      <c r="E146" s="208"/>
      <c r="G146" s="415"/>
      <c r="J146" s="414"/>
      <c r="K146" s="414"/>
      <c r="L146" s="414"/>
      <c r="M146" s="414"/>
      <c r="N146" s="414"/>
      <c r="O146" s="414"/>
      <c r="P146" s="414"/>
      <c r="R146" s="414"/>
      <c r="T146" s="40"/>
    </row>
    <row r="147" spans="5:20" s="52" customFormat="1" ht="10.5">
      <c r="E147" s="208"/>
      <c r="G147" s="415"/>
      <c r="J147" s="414"/>
      <c r="K147" s="414"/>
      <c r="L147" s="414"/>
      <c r="M147" s="414"/>
      <c r="N147" s="414"/>
      <c r="O147" s="414"/>
      <c r="P147" s="414"/>
      <c r="R147" s="414"/>
      <c r="T147" s="40"/>
    </row>
    <row r="148" spans="5:20" s="52" customFormat="1" ht="10.5">
      <c r="E148" s="208"/>
      <c r="G148" s="415"/>
      <c r="J148" s="414"/>
      <c r="K148" s="414"/>
      <c r="L148" s="414"/>
      <c r="M148" s="414"/>
      <c r="N148" s="414"/>
      <c r="O148" s="414"/>
      <c r="P148" s="414"/>
      <c r="R148" s="414"/>
      <c r="T148" s="40"/>
    </row>
    <row r="149" spans="5:20" s="52" customFormat="1" ht="10.5">
      <c r="E149" s="208"/>
      <c r="G149" s="415"/>
      <c r="J149" s="414"/>
      <c r="K149" s="414"/>
      <c r="L149" s="414"/>
      <c r="M149" s="414"/>
      <c r="N149" s="414"/>
      <c r="O149" s="414"/>
      <c r="P149" s="414"/>
      <c r="R149" s="414"/>
      <c r="T149" s="40"/>
    </row>
    <row r="150" spans="5:20" s="52" customFormat="1" ht="10.5">
      <c r="E150" s="208"/>
      <c r="G150" s="415"/>
      <c r="J150" s="414"/>
      <c r="K150" s="414"/>
      <c r="L150" s="414"/>
      <c r="M150" s="414"/>
      <c r="N150" s="414"/>
      <c r="O150" s="414"/>
      <c r="P150" s="414"/>
      <c r="R150" s="414"/>
      <c r="T150" s="40"/>
    </row>
    <row r="151" spans="5:20" s="52" customFormat="1" ht="10.5">
      <c r="E151" s="208"/>
      <c r="G151" s="415"/>
      <c r="J151" s="414"/>
      <c r="K151" s="414"/>
      <c r="L151" s="414"/>
      <c r="M151" s="414"/>
      <c r="N151" s="414"/>
      <c r="O151" s="414"/>
      <c r="P151" s="414"/>
      <c r="R151" s="414"/>
      <c r="T151" s="40"/>
    </row>
    <row r="152" spans="5:20" s="52" customFormat="1" ht="10.5">
      <c r="E152" s="208"/>
      <c r="G152" s="415"/>
      <c r="J152" s="414"/>
      <c r="K152" s="414"/>
      <c r="L152" s="414"/>
      <c r="M152" s="414"/>
      <c r="N152" s="414"/>
      <c r="O152" s="414"/>
      <c r="P152" s="414"/>
      <c r="R152" s="414"/>
      <c r="T152" s="40"/>
    </row>
    <row r="153" spans="5:20" s="52" customFormat="1" ht="10.5">
      <c r="E153" s="208"/>
      <c r="G153" s="415"/>
      <c r="J153" s="414"/>
      <c r="K153" s="414"/>
      <c r="L153" s="414"/>
      <c r="M153" s="414"/>
      <c r="N153" s="414"/>
      <c r="O153" s="414"/>
      <c r="P153" s="414"/>
      <c r="R153" s="414"/>
      <c r="T153" s="40"/>
    </row>
    <row r="154" spans="5:20" s="52" customFormat="1" ht="10.5">
      <c r="E154" s="208"/>
      <c r="G154" s="415"/>
      <c r="J154" s="414"/>
      <c r="K154" s="414"/>
      <c r="L154" s="414"/>
      <c r="M154" s="414"/>
      <c r="N154" s="414"/>
      <c r="O154" s="414"/>
      <c r="P154" s="414"/>
      <c r="R154" s="414"/>
      <c r="T154" s="40"/>
    </row>
    <row r="155" spans="5:20" s="52" customFormat="1" ht="10.5">
      <c r="E155" s="208"/>
      <c r="G155" s="415"/>
      <c r="J155" s="414"/>
      <c r="K155" s="414"/>
      <c r="L155" s="414"/>
      <c r="M155" s="414"/>
      <c r="N155" s="414"/>
      <c r="O155" s="414"/>
      <c r="P155" s="414"/>
      <c r="R155" s="414"/>
      <c r="T155" s="40"/>
    </row>
    <row r="156" spans="5:20" s="52" customFormat="1" ht="10.5">
      <c r="E156" s="208"/>
      <c r="G156" s="415"/>
      <c r="J156" s="414"/>
      <c r="K156" s="414"/>
      <c r="L156" s="414"/>
      <c r="M156" s="414"/>
      <c r="N156" s="414"/>
      <c r="O156" s="414"/>
      <c r="P156" s="414"/>
      <c r="R156" s="414"/>
      <c r="T156" s="40"/>
    </row>
    <row r="157" spans="5:20" s="52" customFormat="1" ht="10.5">
      <c r="E157" s="208"/>
      <c r="G157" s="415"/>
      <c r="J157" s="414"/>
      <c r="K157" s="414"/>
      <c r="L157" s="414"/>
      <c r="M157" s="414"/>
      <c r="N157" s="414"/>
      <c r="O157" s="414"/>
      <c r="P157" s="414"/>
      <c r="R157" s="414"/>
      <c r="T157" s="40"/>
    </row>
    <row r="158" spans="5:20" s="52" customFormat="1" ht="10.5">
      <c r="E158" s="208"/>
      <c r="G158" s="415"/>
      <c r="J158" s="414"/>
      <c r="K158" s="414"/>
      <c r="L158" s="414"/>
      <c r="M158" s="414"/>
      <c r="N158" s="414"/>
      <c r="O158" s="414"/>
      <c r="P158" s="414"/>
      <c r="R158" s="414"/>
      <c r="T158" s="40"/>
    </row>
    <row r="159" spans="5:20" s="52" customFormat="1" ht="10.5">
      <c r="E159" s="208"/>
      <c r="G159" s="415"/>
      <c r="J159" s="414"/>
      <c r="K159" s="414"/>
      <c r="L159" s="414"/>
      <c r="M159" s="414"/>
      <c r="N159" s="414"/>
      <c r="O159" s="414"/>
      <c r="P159" s="414"/>
      <c r="R159" s="414"/>
      <c r="T159" s="40"/>
    </row>
    <row r="160" spans="5:20" s="52" customFormat="1" ht="10.5">
      <c r="E160" s="208"/>
      <c r="G160" s="415"/>
      <c r="J160" s="414"/>
      <c r="K160" s="414"/>
      <c r="L160" s="414"/>
      <c r="M160" s="414"/>
      <c r="N160" s="414"/>
      <c r="O160" s="414"/>
      <c r="P160" s="414"/>
      <c r="R160" s="414"/>
      <c r="T160" s="40"/>
    </row>
    <row r="161" spans="5:20" s="52" customFormat="1" ht="10.5">
      <c r="E161" s="208"/>
      <c r="G161" s="415"/>
      <c r="J161" s="414"/>
      <c r="K161" s="414"/>
      <c r="L161" s="414"/>
      <c r="M161" s="414"/>
      <c r="N161" s="414"/>
      <c r="O161" s="414"/>
      <c r="P161" s="414"/>
      <c r="R161" s="414"/>
      <c r="T161" s="40"/>
    </row>
    <row r="162" spans="5:20" s="52" customFormat="1" ht="10.5">
      <c r="E162" s="208"/>
      <c r="G162" s="415"/>
      <c r="J162" s="414"/>
      <c r="K162" s="414"/>
      <c r="L162" s="414"/>
      <c r="M162" s="414"/>
      <c r="N162" s="414"/>
      <c r="O162" s="414"/>
      <c r="P162" s="414"/>
      <c r="R162" s="414"/>
      <c r="T162" s="40"/>
    </row>
    <row r="163" spans="5:20" s="52" customFormat="1" ht="10.5">
      <c r="E163" s="208"/>
      <c r="G163" s="415"/>
      <c r="J163" s="414"/>
      <c r="K163" s="414"/>
      <c r="L163" s="414"/>
      <c r="M163" s="414"/>
      <c r="N163" s="414"/>
      <c r="O163" s="414"/>
      <c r="P163" s="414"/>
      <c r="R163" s="414"/>
      <c r="T163" s="40"/>
    </row>
    <row r="164" spans="5:20" s="52" customFormat="1" ht="10.5">
      <c r="E164" s="208"/>
      <c r="G164" s="415"/>
      <c r="J164" s="414"/>
      <c r="K164" s="414"/>
      <c r="L164" s="414"/>
      <c r="M164" s="414"/>
      <c r="N164" s="414"/>
      <c r="O164" s="414"/>
      <c r="P164" s="414"/>
      <c r="R164" s="414"/>
      <c r="T164" s="40"/>
    </row>
    <row r="165" spans="5:20" s="52" customFormat="1" ht="10.5">
      <c r="E165" s="208"/>
      <c r="G165" s="415"/>
      <c r="J165" s="414"/>
      <c r="K165" s="414"/>
      <c r="L165" s="414"/>
      <c r="M165" s="414"/>
      <c r="N165" s="414"/>
      <c r="O165" s="414"/>
      <c r="P165" s="414"/>
      <c r="R165" s="414"/>
      <c r="T165" s="40"/>
    </row>
    <row r="166" spans="5:20" s="52" customFormat="1" ht="10.5">
      <c r="E166" s="208"/>
      <c r="G166" s="415"/>
      <c r="J166" s="414"/>
      <c r="K166" s="414"/>
      <c r="L166" s="414"/>
      <c r="M166" s="414"/>
      <c r="N166" s="414"/>
      <c r="O166" s="414"/>
      <c r="P166" s="414"/>
      <c r="R166" s="414"/>
      <c r="T166" s="40"/>
    </row>
    <row r="167" spans="5:20" s="52" customFormat="1" ht="10.5">
      <c r="E167" s="208"/>
      <c r="G167" s="415"/>
      <c r="J167" s="414"/>
      <c r="K167" s="414"/>
      <c r="L167" s="414"/>
      <c r="M167" s="414"/>
      <c r="N167" s="414"/>
      <c r="O167" s="414"/>
      <c r="P167" s="414"/>
      <c r="R167" s="414"/>
      <c r="T167" s="40"/>
    </row>
    <row r="168" spans="5:20" s="52" customFormat="1" ht="10.5">
      <c r="E168" s="208"/>
      <c r="G168" s="415"/>
      <c r="J168" s="414"/>
      <c r="K168" s="414"/>
      <c r="L168" s="414"/>
      <c r="M168" s="414"/>
      <c r="N168" s="414"/>
      <c r="O168" s="414"/>
      <c r="P168" s="414"/>
      <c r="R168" s="414"/>
      <c r="T168" s="40"/>
    </row>
    <row r="169" spans="5:20" s="52" customFormat="1" ht="10.5">
      <c r="E169" s="208"/>
      <c r="G169" s="415"/>
      <c r="J169" s="414"/>
      <c r="K169" s="414"/>
      <c r="L169" s="414"/>
      <c r="M169" s="414"/>
      <c r="N169" s="414"/>
      <c r="O169" s="414"/>
      <c r="P169" s="414"/>
      <c r="R169" s="414"/>
      <c r="T169" s="40"/>
    </row>
    <row r="170" spans="5:20" s="52" customFormat="1" ht="10.5">
      <c r="E170" s="208"/>
      <c r="G170" s="415"/>
      <c r="J170" s="414"/>
      <c r="K170" s="414"/>
      <c r="L170" s="414"/>
      <c r="M170" s="414"/>
      <c r="N170" s="414"/>
      <c r="O170" s="414"/>
      <c r="P170" s="414"/>
      <c r="R170" s="414"/>
      <c r="T170" s="40"/>
    </row>
    <row r="171" spans="5:20" s="52" customFormat="1" ht="10.5">
      <c r="E171" s="208"/>
      <c r="G171" s="415"/>
      <c r="J171" s="414"/>
      <c r="K171" s="414"/>
      <c r="L171" s="414"/>
      <c r="M171" s="414"/>
      <c r="N171" s="414"/>
      <c r="O171" s="414"/>
      <c r="P171" s="414"/>
      <c r="R171" s="414"/>
      <c r="T171" s="40"/>
    </row>
    <row r="172" spans="5:20" s="52" customFormat="1" ht="10.5">
      <c r="E172" s="208"/>
      <c r="G172" s="415"/>
      <c r="J172" s="414"/>
      <c r="K172" s="414"/>
      <c r="L172" s="414"/>
      <c r="M172" s="414"/>
      <c r="N172" s="414"/>
      <c r="O172" s="414"/>
      <c r="P172" s="414"/>
      <c r="R172" s="414"/>
      <c r="T172" s="40"/>
    </row>
    <row r="173" spans="5:20" s="52" customFormat="1" ht="10.5">
      <c r="E173" s="208"/>
      <c r="G173" s="415"/>
      <c r="J173" s="414"/>
      <c r="K173" s="414"/>
      <c r="L173" s="414"/>
      <c r="M173" s="414"/>
      <c r="N173" s="414"/>
      <c r="O173" s="414"/>
      <c r="P173" s="414"/>
      <c r="R173" s="414"/>
      <c r="T173" s="40"/>
    </row>
    <row r="174" spans="5:20" s="52" customFormat="1" ht="10.5">
      <c r="E174" s="208"/>
      <c r="G174" s="415"/>
      <c r="J174" s="414"/>
      <c r="K174" s="414"/>
      <c r="L174" s="414"/>
      <c r="M174" s="414"/>
      <c r="N174" s="414"/>
      <c r="O174" s="414"/>
      <c r="P174" s="414"/>
      <c r="R174" s="414"/>
      <c r="T174" s="40"/>
    </row>
    <row r="175" spans="5:20" s="52" customFormat="1" ht="10.5">
      <c r="E175" s="208"/>
      <c r="G175" s="415"/>
      <c r="J175" s="414"/>
      <c r="K175" s="414"/>
      <c r="L175" s="414"/>
      <c r="M175" s="414"/>
      <c r="N175" s="414"/>
      <c r="O175" s="414"/>
      <c r="P175" s="414"/>
      <c r="R175" s="414"/>
      <c r="T175" s="40"/>
    </row>
    <row r="176" spans="5:20" s="52" customFormat="1" ht="10.5">
      <c r="E176" s="208"/>
      <c r="G176" s="415"/>
      <c r="J176" s="414"/>
      <c r="K176" s="414"/>
      <c r="L176" s="414"/>
      <c r="M176" s="414"/>
      <c r="N176" s="414"/>
      <c r="O176" s="414"/>
      <c r="P176" s="414"/>
      <c r="R176" s="414"/>
      <c r="T176" s="40"/>
    </row>
    <row r="177" spans="5:20" s="52" customFormat="1" ht="10.5">
      <c r="E177" s="208"/>
      <c r="G177" s="415"/>
      <c r="J177" s="414"/>
      <c r="K177" s="414"/>
      <c r="L177" s="414"/>
      <c r="M177" s="414"/>
      <c r="N177" s="414"/>
      <c r="O177" s="414"/>
      <c r="P177" s="414"/>
      <c r="R177" s="414"/>
      <c r="T177" s="40"/>
    </row>
    <row r="178" spans="5:20" s="52" customFormat="1" ht="10.5">
      <c r="E178" s="208"/>
      <c r="G178" s="415"/>
      <c r="J178" s="414"/>
      <c r="K178" s="414"/>
      <c r="L178" s="414"/>
      <c r="M178" s="414"/>
      <c r="N178" s="414"/>
      <c r="O178" s="414"/>
      <c r="P178" s="414"/>
      <c r="R178" s="414"/>
      <c r="T178" s="40"/>
    </row>
    <row r="179" spans="5:20" s="52" customFormat="1" ht="10.5">
      <c r="E179" s="208"/>
      <c r="G179" s="415"/>
      <c r="J179" s="414"/>
      <c r="K179" s="414"/>
      <c r="L179" s="414"/>
      <c r="M179" s="414"/>
      <c r="N179" s="414"/>
      <c r="O179" s="414"/>
      <c r="P179" s="414"/>
      <c r="R179" s="414"/>
      <c r="T179" s="40"/>
    </row>
    <row r="180" spans="5:20" s="52" customFormat="1" ht="10.5">
      <c r="E180" s="208"/>
      <c r="G180" s="415"/>
      <c r="J180" s="414"/>
      <c r="K180" s="414"/>
      <c r="L180" s="414"/>
      <c r="M180" s="414"/>
      <c r="N180" s="414"/>
      <c r="O180" s="414"/>
      <c r="P180" s="414"/>
      <c r="R180" s="414"/>
      <c r="T180" s="40"/>
    </row>
    <row r="181" spans="5:20" s="52" customFormat="1" ht="10.5">
      <c r="E181" s="208"/>
      <c r="G181" s="415"/>
      <c r="J181" s="414"/>
      <c r="K181" s="414"/>
      <c r="L181" s="414"/>
      <c r="M181" s="414"/>
      <c r="N181" s="414"/>
      <c r="O181" s="414"/>
      <c r="P181" s="414"/>
      <c r="R181" s="414"/>
      <c r="T181" s="40"/>
    </row>
    <row r="182" spans="5:20" s="52" customFormat="1" ht="10.5">
      <c r="E182" s="208"/>
      <c r="G182" s="415"/>
      <c r="J182" s="414"/>
      <c r="K182" s="414"/>
      <c r="L182" s="414"/>
      <c r="M182" s="414"/>
      <c r="N182" s="414"/>
      <c r="O182" s="414"/>
      <c r="P182" s="414"/>
      <c r="R182" s="414"/>
      <c r="T182" s="40"/>
    </row>
    <row r="183" spans="5:20" s="52" customFormat="1" ht="10.5">
      <c r="E183" s="208"/>
      <c r="G183" s="415"/>
      <c r="J183" s="414"/>
      <c r="K183" s="414"/>
      <c r="L183" s="414"/>
      <c r="M183" s="414"/>
      <c r="N183" s="414"/>
      <c r="O183" s="414"/>
      <c r="P183" s="414"/>
      <c r="R183" s="414"/>
      <c r="T183" s="40"/>
    </row>
    <row r="184" spans="5:20" s="52" customFormat="1" ht="10.5">
      <c r="E184" s="208"/>
      <c r="G184" s="415"/>
      <c r="J184" s="414"/>
      <c r="K184" s="414"/>
      <c r="L184" s="414"/>
      <c r="M184" s="414"/>
      <c r="N184" s="414"/>
      <c r="O184" s="414"/>
      <c r="P184" s="414"/>
      <c r="R184" s="414"/>
      <c r="T184" s="40"/>
    </row>
    <row r="185" spans="5:20" s="52" customFormat="1" ht="10.5">
      <c r="E185" s="208"/>
      <c r="G185" s="415"/>
      <c r="J185" s="414"/>
      <c r="K185" s="414"/>
      <c r="L185" s="414"/>
      <c r="M185" s="414"/>
      <c r="N185" s="414"/>
      <c r="O185" s="414"/>
      <c r="P185" s="414"/>
      <c r="R185" s="414"/>
      <c r="T185" s="40"/>
    </row>
    <row r="186" spans="5:20" s="52" customFormat="1" ht="10.5">
      <c r="E186" s="208"/>
      <c r="G186" s="415"/>
      <c r="J186" s="414"/>
      <c r="K186" s="414"/>
      <c r="L186" s="414"/>
      <c r="M186" s="414"/>
      <c r="N186" s="414"/>
      <c r="O186" s="414"/>
      <c r="P186" s="414"/>
      <c r="R186" s="414"/>
      <c r="T186" s="40"/>
    </row>
    <row r="187" spans="5:20" s="52" customFormat="1" ht="10.5">
      <c r="E187" s="208"/>
      <c r="G187" s="415"/>
      <c r="J187" s="414"/>
      <c r="K187" s="414"/>
      <c r="L187" s="414"/>
      <c r="M187" s="414"/>
      <c r="N187" s="414"/>
      <c r="O187" s="414"/>
      <c r="P187" s="414"/>
      <c r="R187" s="414"/>
      <c r="T187" s="40"/>
    </row>
    <row r="188" spans="5:20" s="52" customFormat="1" ht="10.5">
      <c r="E188" s="208"/>
      <c r="G188" s="415"/>
      <c r="J188" s="414"/>
      <c r="K188" s="414"/>
      <c r="L188" s="414"/>
      <c r="M188" s="414"/>
      <c r="N188" s="414"/>
      <c r="O188" s="414"/>
      <c r="P188" s="414"/>
      <c r="R188" s="414"/>
      <c r="T188" s="40"/>
    </row>
    <row r="189" spans="5:20" s="52" customFormat="1" ht="10.5">
      <c r="E189" s="208"/>
      <c r="G189" s="415"/>
      <c r="J189" s="414"/>
      <c r="K189" s="414"/>
      <c r="L189" s="414"/>
      <c r="M189" s="414"/>
      <c r="N189" s="414"/>
      <c r="O189" s="414"/>
      <c r="P189" s="414"/>
      <c r="R189" s="414"/>
      <c r="T189" s="40"/>
    </row>
    <row r="190" spans="5:20" s="52" customFormat="1" ht="10.5">
      <c r="E190" s="208"/>
      <c r="G190" s="415"/>
      <c r="J190" s="414"/>
      <c r="K190" s="414"/>
      <c r="L190" s="414"/>
      <c r="M190" s="414"/>
      <c r="N190" s="414"/>
      <c r="O190" s="414"/>
      <c r="P190" s="414"/>
      <c r="R190" s="414"/>
      <c r="T190" s="40"/>
    </row>
    <row r="191" spans="5:20" s="52" customFormat="1" ht="10.5">
      <c r="E191" s="208"/>
      <c r="G191" s="415"/>
      <c r="J191" s="414"/>
      <c r="K191" s="414"/>
      <c r="L191" s="414"/>
      <c r="M191" s="414"/>
      <c r="N191" s="414"/>
      <c r="O191" s="414"/>
      <c r="P191" s="414"/>
      <c r="R191" s="414"/>
      <c r="T191" s="40"/>
    </row>
    <row r="192" spans="5:20" s="52" customFormat="1" ht="10.5">
      <c r="E192" s="208"/>
      <c r="G192" s="415"/>
      <c r="J192" s="414"/>
      <c r="K192" s="414"/>
      <c r="L192" s="414"/>
      <c r="M192" s="414"/>
      <c r="N192" s="414"/>
      <c r="O192" s="414"/>
      <c r="P192" s="414"/>
      <c r="R192" s="414"/>
      <c r="T192" s="40"/>
    </row>
    <row r="193" spans="5:20" s="52" customFormat="1" ht="10.5">
      <c r="E193" s="208"/>
      <c r="G193" s="415"/>
      <c r="J193" s="414"/>
      <c r="K193" s="414"/>
      <c r="L193" s="414"/>
      <c r="M193" s="414"/>
      <c r="N193" s="414"/>
      <c r="O193" s="414"/>
      <c r="P193" s="414"/>
      <c r="R193" s="414"/>
      <c r="T193" s="40"/>
    </row>
    <row r="194" spans="5:20" s="52" customFormat="1" ht="10.5">
      <c r="E194" s="208"/>
      <c r="G194" s="415"/>
      <c r="J194" s="414"/>
      <c r="K194" s="414"/>
      <c r="L194" s="414"/>
      <c r="M194" s="414"/>
      <c r="N194" s="414"/>
      <c r="O194" s="414"/>
      <c r="P194" s="414"/>
      <c r="R194" s="414"/>
      <c r="T194" s="40"/>
    </row>
    <row r="195" spans="5:20" s="52" customFormat="1" ht="10.5">
      <c r="E195" s="208"/>
      <c r="G195" s="415"/>
      <c r="J195" s="414"/>
      <c r="K195" s="414"/>
      <c r="L195" s="414"/>
      <c r="M195" s="414"/>
      <c r="N195" s="414"/>
      <c r="O195" s="414"/>
      <c r="P195" s="414"/>
      <c r="R195" s="414"/>
      <c r="T195" s="40"/>
    </row>
    <row r="196" spans="5:20" s="52" customFormat="1" ht="10.5">
      <c r="E196" s="208"/>
      <c r="G196" s="415"/>
      <c r="J196" s="414"/>
      <c r="K196" s="414"/>
      <c r="L196" s="414"/>
      <c r="M196" s="414"/>
      <c r="N196" s="414"/>
      <c r="O196" s="414"/>
      <c r="P196" s="414"/>
      <c r="R196" s="414"/>
      <c r="T196" s="40"/>
    </row>
    <row r="197" spans="5:20" s="52" customFormat="1" ht="10.5">
      <c r="E197" s="208"/>
      <c r="G197" s="415"/>
      <c r="J197" s="414"/>
      <c r="K197" s="414"/>
      <c r="L197" s="414"/>
      <c r="M197" s="414"/>
      <c r="N197" s="414"/>
      <c r="O197" s="414"/>
      <c r="P197" s="414"/>
      <c r="R197" s="414"/>
      <c r="T197" s="40"/>
    </row>
    <row r="198" spans="5:20" s="52" customFormat="1" ht="10.5">
      <c r="E198" s="208"/>
      <c r="G198" s="415"/>
      <c r="J198" s="414"/>
      <c r="K198" s="414"/>
      <c r="L198" s="414"/>
      <c r="M198" s="414"/>
      <c r="N198" s="414"/>
      <c r="O198" s="414"/>
      <c r="P198" s="414"/>
      <c r="R198" s="414"/>
      <c r="T198" s="40"/>
    </row>
    <row r="199" spans="5:20" s="52" customFormat="1" ht="10.5">
      <c r="E199" s="208"/>
      <c r="G199" s="415"/>
      <c r="J199" s="414"/>
      <c r="K199" s="414"/>
      <c r="L199" s="414"/>
      <c r="M199" s="414"/>
      <c r="N199" s="414"/>
      <c r="O199" s="414"/>
      <c r="P199" s="414"/>
      <c r="R199" s="414"/>
      <c r="T199" s="40"/>
    </row>
    <row r="200" spans="5:20" s="52" customFormat="1" ht="10.5">
      <c r="E200" s="208"/>
      <c r="G200" s="415"/>
      <c r="J200" s="414"/>
      <c r="K200" s="414"/>
      <c r="L200" s="414"/>
      <c r="M200" s="414"/>
      <c r="N200" s="414"/>
      <c r="O200" s="414"/>
      <c r="P200" s="414"/>
      <c r="R200" s="414"/>
      <c r="T200" s="40"/>
    </row>
    <row r="201" spans="5:20" s="52" customFormat="1" ht="10.5">
      <c r="E201" s="208"/>
      <c r="G201" s="415"/>
      <c r="J201" s="414"/>
      <c r="K201" s="414"/>
      <c r="L201" s="414"/>
      <c r="M201" s="414"/>
      <c r="N201" s="414"/>
      <c r="O201" s="414"/>
      <c r="P201" s="414"/>
      <c r="R201" s="414"/>
      <c r="T201" s="40"/>
    </row>
    <row r="202" spans="5:20" s="52" customFormat="1" ht="10.5">
      <c r="E202" s="208"/>
      <c r="G202" s="415"/>
      <c r="J202" s="414"/>
      <c r="K202" s="414"/>
      <c r="L202" s="414"/>
      <c r="M202" s="414"/>
      <c r="N202" s="414"/>
      <c r="O202" s="414"/>
      <c r="P202" s="414"/>
      <c r="R202" s="414"/>
      <c r="T202" s="40"/>
    </row>
    <row r="203" spans="5:20" s="52" customFormat="1" ht="10.5">
      <c r="E203" s="208"/>
      <c r="G203" s="415"/>
      <c r="J203" s="414"/>
      <c r="K203" s="414"/>
      <c r="L203" s="414"/>
      <c r="M203" s="414"/>
      <c r="N203" s="414"/>
      <c r="O203" s="414"/>
      <c r="P203" s="414"/>
      <c r="R203" s="414"/>
      <c r="T203" s="40"/>
    </row>
    <row r="204" spans="5:20" s="52" customFormat="1" ht="10.5">
      <c r="E204" s="208"/>
      <c r="G204" s="415"/>
      <c r="J204" s="414"/>
      <c r="K204" s="414"/>
      <c r="L204" s="414"/>
      <c r="M204" s="414"/>
      <c r="N204" s="414"/>
      <c r="O204" s="414"/>
      <c r="P204" s="414"/>
      <c r="R204" s="414"/>
      <c r="T204" s="40"/>
    </row>
    <row r="205" spans="5:20" s="52" customFormat="1" ht="10.5">
      <c r="E205" s="208"/>
      <c r="G205" s="415"/>
      <c r="J205" s="414"/>
      <c r="K205" s="414"/>
      <c r="L205" s="414"/>
      <c r="M205" s="414"/>
      <c r="N205" s="414"/>
      <c r="O205" s="414"/>
      <c r="P205" s="414"/>
      <c r="R205" s="414"/>
      <c r="T205" s="40"/>
    </row>
    <row r="206" spans="5:20" s="52" customFormat="1" ht="10.5">
      <c r="E206" s="208"/>
      <c r="G206" s="415"/>
      <c r="J206" s="414"/>
      <c r="K206" s="414"/>
      <c r="L206" s="414"/>
      <c r="M206" s="414"/>
      <c r="N206" s="414"/>
      <c r="O206" s="414"/>
      <c r="P206" s="414"/>
      <c r="R206" s="414"/>
      <c r="T206" s="40"/>
    </row>
    <row r="207" spans="5:20" s="52" customFormat="1" ht="10.5">
      <c r="E207" s="208"/>
      <c r="G207" s="415"/>
      <c r="J207" s="414"/>
      <c r="K207" s="414"/>
      <c r="L207" s="414"/>
      <c r="M207" s="414"/>
      <c r="N207" s="414"/>
      <c r="O207" s="414"/>
      <c r="P207" s="414"/>
      <c r="R207" s="414"/>
      <c r="T207" s="40"/>
    </row>
    <row r="208" spans="5:20" s="52" customFormat="1" ht="10.5">
      <c r="E208" s="208"/>
      <c r="G208" s="415"/>
      <c r="J208" s="414"/>
      <c r="K208" s="414"/>
      <c r="L208" s="414"/>
      <c r="M208" s="414"/>
      <c r="N208" s="414"/>
      <c r="O208" s="414"/>
      <c r="P208" s="414"/>
      <c r="R208" s="414"/>
      <c r="T208" s="40"/>
    </row>
    <row r="209" spans="5:20" s="52" customFormat="1" ht="10.5">
      <c r="E209" s="208"/>
      <c r="G209" s="415"/>
      <c r="J209" s="414"/>
      <c r="K209" s="414"/>
      <c r="L209" s="414"/>
      <c r="M209" s="414"/>
      <c r="N209" s="414"/>
      <c r="O209" s="414"/>
      <c r="P209" s="414"/>
      <c r="R209" s="414"/>
      <c r="T209" s="40"/>
    </row>
    <row r="210" spans="5:20" s="52" customFormat="1" ht="10.5">
      <c r="E210" s="208"/>
      <c r="G210" s="415"/>
      <c r="J210" s="414"/>
      <c r="K210" s="414"/>
      <c r="L210" s="414"/>
      <c r="M210" s="414"/>
      <c r="N210" s="414"/>
      <c r="O210" s="414"/>
      <c r="P210" s="414"/>
      <c r="R210" s="414"/>
      <c r="T210" s="40"/>
    </row>
  </sheetData>
  <mergeCells count="43">
    <mergeCell ref="B37:C37"/>
    <mergeCell ref="I37:R37"/>
    <mergeCell ref="I38:R38"/>
    <mergeCell ref="I39:R39"/>
    <mergeCell ref="I29:R29"/>
    <mergeCell ref="I30:R30"/>
    <mergeCell ref="I32:R32"/>
    <mergeCell ref="I33:R33"/>
    <mergeCell ref="I35:R35"/>
    <mergeCell ref="I36:R36"/>
    <mergeCell ref="B20:C20"/>
    <mergeCell ref="I21:R21"/>
    <mergeCell ref="B34:C34"/>
    <mergeCell ref="I34:R34"/>
    <mergeCell ref="I23:R23"/>
    <mergeCell ref="I24:R24"/>
    <mergeCell ref="I25:R25"/>
    <mergeCell ref="I26:R26"/>
    <mergeCell ref="I27:R27"/>
    <mergeCell ref="I28:R28"/>
    <mergeCell ref="I22:R22"/>
    <mergeCell ref="I16:R16"/>
    <mergeCell ref="I17:R17"/>
    <mergeCell ref="I18:R18"/>
    <mergeCell ref="I19:R19"/>
    <mergeCell ref="I10:R10"/>
    <mergeCell ref="I11:R11"/>
    <mergeCell ref="I12:R12"/>
    <mergeCell ref="I13:R13"/>
    <mergeCell ref="I14:R14"/>
    <mergeCell ref="I15:R15"/>
    <mergeCell ref="A2:D2"/>
    <mergeCell ref="Q3:R3"/>
    <mergeCell ref="A4:D4"/>
    <mergeCell ref="E4:E5"/>
    <mergeCell ref="F4:F5"/>
    <mergeCell ref="G4:H4"/>
    <mergeCell ref="I4:R5"/>
    <mergeCell ref="A6:C6"/>
    <mergeCell ref="I6:R6"/>
    <mergeCell ref="I7:R7"/>
    <mergeCell ref="I8:R8"/>
    <mergeCell ref="I9:R9"/>
  </mergeCells>
  <phoneticPr fontId="7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32"/>
  <sheetViews>
    <sheetView topLeftCell="A22" workbookViewId="0">
      <selection activeCell="G30" sqref="G30"/>
    </sheetView>
  </sheetViews>
  <sheetFormatPr defaultRowHeight="13.5"/>
  <cols>
    <col min="1" max="1" width="6.125" style="416" customWidth="1"/>
    <col min="2" max="2" width="7.875" style="52" customWidth="1"/>
    <col min="3" max="3" width="10" style="416" customWidth="1"/>
    <col min="4" max="4" width="9.875" style="416" customWidth="1"/>
    <col min="5" max="5" width="12.875" style="417" customWidth="1"/>
    <col min="6" max="6" width="13.125" style="416" customWidth="1"/>
    <col min="7" max="7" width="12.875" style="418" customWidth="1"/>
    <col min="8" max="8" width="6.5" style="416" customWidth="1"/>
    <col min="9" max="9" width="12" style="416" bestFit="1" customWidth="1"/>
    <col min="10" max="10" width="1.625" style="419" customWidth="1"/>
    <col min="11" max="11" width="2.25" style="419" customWidth="1"/>
    <col min="12" max="12" width="2.5" style="419" customWidth="1"/>
    <col min="13" max="13" width="1.625" style="419" customWidth="1"/>
    <col min="14" max="14" width="2.875" style="419" customWidth="1"/>
    <col min="15" max="16" width="1.875" style="419" customWidth="1"/>
    <col min="17" max="17" width="13" style="416" customWidth="1"/>
    <col min="18" max="18" width="3.625" style="419" customWidth="1"/>
    <col min="19" max="19" width="10" style="416" customWidth="1"/>
    <col min="20" max="20" width="13" style="41" customWidth="1"/>
    <col min="21" max="21" width="14.125" style="416" customWidth="1"/>
    <col min="22" max="22" width="15.375" style="416" customWidth="1"/>
    <col min="23" max="23" width="11.75" style="416" customWidth="1"/>
    <col min="24" max="24" width="12.875" style="416" customWidth="1"/>
    <col min="25" max="25" width="18.875" style="416" customWidth="1"/>
    <col min="26" max="26" width="21.375" style="416" customWidth="1"/>
    <col min="27" max="37" width="9" style="416"/>
    <col min="38" max="16384" width="9" style="123"/>
  </cols>
  <sheetData>
    <row r="1" spans="1:37" s="55" customFormat="1" ht="22.5" customHeight="1">
      <c r="A1" s="326" t="s">
        <v>506</v>
      </c>
      <c r="B1" s="326"/>
      <c r="C1" s="357"/>
      <c r="D1" s="358"/>
      <c r="G1" s="359"/>
      <c r="T1" s="35"/>
    </row>
    <row r="2" spans="1:37" s="59" customFormat="1" ht="16.5" customHeight="1">
      <c r="A2" s="1510" t="s">
        <v>507</v>
      </c>
      <c r="B2" s="1510"/>
      <c r="C2" s="1510"/>
      <c r="D2" s="1510"/>
      <c r="E2" s="360"/>
      <c r="F2" s="361"/>
      <c r="G2" s="362"/>
      <c r="H2" s="361"/>
      <c r="I2" s="361"/>
      <c r="J2" s="363"/>
      <c r="K2" s="363"/>
      <c r="L2" s="363"/>
      <c r="M2" s="363"/>
      <c r="N2" s="363"/>
      <c r="O2" s="363"/>
      <c r="P2" s="363"/>
      <c r="Q2" s="361"/>
      <c r="R2" s="363"/>
      <c r="S2" s="361"/>
      <c r="U2" s="361"/>
      <c r="V2" s="361"/>
      <c r="W2" s="361"/>
      <c r="X2" s="361"/>
      <c r="Y2" s="361"/>
      <c r="Z2" s="361"/>
      <c r="AA2" s="361"/>
      <c r="AB2" s="361"/>
      <c r="AC2" s="361"/>
      <c r="AD2" s="361"/>
      <c r="AE2" s="361"/>
      <c r="AF2" s="361"/>
      <c r="AG2" s="361"/>
      <c r="AH2" s="361"/>
      <c r="AI2" s="361"/>
      <c r="AJ2" s="361"/>
      <c r="AK2" s="361"/>
    </row>
    <row r="3" spans="1:37" s="314" customFormat="1" ht="19.5" customHeight="1">
      <c r="A3" s="361"/>
      <c r="B3" s="53"/>
      <c r="C3" s="361"/>
      <c r="D3" s="361"/>
      <c r="E3" s="360"/>
      <c r="F3" s="361"/>
      <c r="G3" s="362"/>
      <c r="H3" s="361"/>
      <c r="I3" s="361"/>
      <c r="J3" s="363"/>
      <c r="K3" s="363"/>
      <c r="L3" s="363"/>
      <c r="M3" s="363"/>
      <c r="N3" s="363"/>
      <c r="O3" s="363"/>
      <c r="P3" s="363"/>
      <c r="Q3" s="1511" t="s">
        <v>298</v>
      </c>
      <c r="R3" s="1511"/>
      <c r="S3" s="361"/>
      <c r="T3" s="36"/>
      <c r="U3" s="361"/>
      <c r="V3" s="361"/>
      <c r="W3" s="361"/>
      <c r="X3" s="361"/>
      <c r="Y3" s="361"/>
      <c r="Z3" s="361"/>
      <c r="AA3" s="361"/>
      <c r="AB3" s="361"/>
      <c r="AC3" s="361"/>
      <c r="AD3" s="361"/>
      <c r="AE3" s="361"/>
      <c r="AF3" s="361"/>
      <c r="AG3" s="361"/>
      <c r="AH3" s="361"/>
      <c r="AI3" s="361"/>
      <c r="AJ3" s="361"/>
      <c r="AK3" s="361"/>
    </row>
    <row r="4" spans="1:37" s="61" customFormat="1" ht="23.25" customHeight="1">
      <c r="A4" s="1512" t="s">
        <v>301</v>
      </c>
      <c r="B4" s="1513"/>
      <c r="C4" s="1513"/>
      <c r="D4" s="1514"/>
      <c r="E4" s="1515" t="str">
        <f>'[1]다-3.후원금세입'!D4:D5</f>
        <v>당초예산
( A )</v>
      </c>
      <c r="F4" s="1517" t="str">
        <f>'[1]다-3.후원금세입'!E4:E5</f>
        <v>1차추경
( B )</v>
      </c>
      <c r="G4" s="1519" t="s">
        <v>480</v>
      </c>
      <c r="H4" s="1519"/>
      <c r="I4" s="1520" t="s">
        <v>508</v>
      </c>
      <c r="J4" s="1521"/>
      <c r="K4" s="1521"/>
      <c r="L4" s="1521"/>
      <c r="M4" s="1521"/>
      <c r="N4" s="1521"/>
      <c r="O4" s="1521"/>
      <c r="P4" s="1521"/>
      <c r="Q4" s="1521"/>
      <c r="R4" s="1522"/>
      <c r="T4" s="37"/>
    </row>
    <row r="5" spans="1:37" s="61" customFormat="1" ht="22.5" customHeight="1" thickBot="1">
      <c r="A5" s="287" t="s">
        <v>1</v>
      </c>
      <c r="B5" s="364" t="s">
        <v>2</v>
      </c>
      <c r="C5" s="64" t="s">
        <v>3</v>
      </c>
      <c r="D5" s="64" t="s">
        <v>501</v>
      </c>
      <c r="E5" s="1516"/>
      <c r="F5" s="1518"/>
      <c r="G5" s="288" t="s">
        <v>305</v>
      </c>
      <c r="H5" s="289" t="s">
        <v>306</v>
      </c>
      <c r="I5" s="1523"/>
      <c r="J5" s="1524"/>
      <c r="K5" s="1524"/>
      <c r="L5" s="1524"/>
      <c r="M5" s="1524"/>
      <c r="N5" s="1524"/>
      <c r="O5" s="1524"/>
      <c r="P5" s="1524"/>
      <c r="Q5" s="1524"/>
      <c r="R5" s="1525"/>
      <c r="T5" s="38" t="s">
        <v>509</v>
      </c>
      <c r="U5" s="365" t="s">
        <v>510</v>
      </c>
    </row>
    <row r="6" spans="1:37" s="51" customFormat="1" ht="40.5" customHeight="1" thickTop="1">
      <c r="A6" s="1499" t="s">
        <v>511</v>
      </c>
      <c r="B6" s="1500"/>
      <c r="C6" s="1500"/>
      <c r="D6" s="366"/>
      <c r="E6" s="367">
        <v>2415800000</v>
      </c>
      <c r="F6" s="367">
        <f>F7+F36+F41+F56+F59</f>
        <v>2767810000</v>
      </c>
      <c r="G6" s="368">
        <f t="shared" ref="G6:G13" si="0">F6-E6</f>
        <v>352010000</v>
      </c>
      <c r="H6" s="369">
        <f t="shared" ref="H6:H52" si="1">G6/E6*100</f>
        <v>14.571156552694758</v>
      </c>
      <c r="I6" s="1501" t="s">
        <v>512</v>
      </c>
      <c r="J6" s="1502"/>
      <c r="K6" s="1502"/>
      <c r="L6" s="1502"/>
      <c r="M6" s="1502"/>
      <c r="N6" s="1502"/>
      <c r="O6" s="1502"/>
      <c r="P6" s="1502"/>
      <c r="Q6" s="1502"/>
      <c r="R6" s="1503"/>
      <c r="T6" s="39">
        <f>(68580000)+(31750000)+1485000</f>
        <v>101815000</v>
      </c>
      <c r="U6" s="370">
        <f>68580000+31115000+1485000</f>
        <v>101180000</v>
      </c>
      <c r="V6" s="371">
        <f>T6-U6</f>
        <v>635000</v>
      </c>
    </row>
    <row r="7" spans="1:37" s="52" customFormat="1" ht="21.75" customHeight="1">
      <c r="A7" s="294" t="s">
        <v>310</v>
      </c>
      <c r="B7" s="1543" t="s">
        <v>309</v>
      </c>
      <c r="C7" s="1544"/>
      <c r="D7" s="372"/>
      <c r="E7" s="373">
        <v>2212619880</v>
      </c>
      <c r="F7" s="373">
        <f>F8+F22+F26</f>
        <v>2579874390</v>
      </c>
      <c r="G7" s="279">
        <f t="shared" si="0"/>
        <v>367254510</v>
      </c>
      <c r="H7" s="374">
        <f t="shared" si="1"/>
        <v>16.598174558569003</v>
      </c>
      <c r="I7" s="1545" t="s">
        <v>513</v>
      </c>
      <c r="J7" s="1546"/>
      <c r="K7" s="1546"/>
      <c r="L7" s="1546"/>
      <c r="M7" s="1546"/>
      <c r="N7" s="1546"/>
      <c r="O7" s="1546"/>
      <c r="P7" s="1546"/>
      <c r="Q7" s="375">
        <v>101815000</v>
      </c>
      <c r="R7" s="376" t="s">
        <v>406</v>
      </c>
      <c r="T7" s="40">
        <f>SUM(F22,F27,F28,F29,F30,F31,F32,F33,F34,F37,F48,F49,F51)</f>
        <v>101815000</v>
      </c>
      <c r="U7" s="40"/>
    </row>
    <row r="8" spans="1:37" s="52" customFormat="1" ht="21.75" customHeight="1">
      <c r="A8" s="297"/>
      <c r="B8" s="339" t="s">
        <v>313</v>
      </c>
      <c r="C8" s="282" t="s">
        <v>312</v>
      </c>
      <c r="D8" s="282"/>
      <c r="E8" s="377">
        <v>2153919880</v>
      </c>
      <c r="F8" s="377">
        <f>F9+F10+F16+F21+F15</f>
        <v>2517416390</v>
      </c>
      <c r="G8" s="279">
        <f t="shared" si="0"/>
        <v>363496510</v>
      </c>
      <c r="H8" s="378">
        <f t="shared" si="1"/>
        <v>16.876046011516454</v>
      </c>
      <c r="I8" s="1541"/>
      <c r="J8" s="1542"/>
      <c r="K8" s="1542"/>
      <c r="L8" s="1542"/>
      <c r="M8" s="1542"/>
      <c r="N8" s="1542"/>
      <c r="O8" s="1542"/>
      <c r="P8" s="1542"/>
      <c r="Q8" s="1542"/>
      <c r="R8" s="1547"/>
      <c r="T8" s="40">
        <f>T6-T7</f>
        <v>0</v>
      </c>
    </row>
    <row r="9" spans="1:37" s="52" customFormat="1" ht="21.75" customHeight="1">
      <c r="A9" s="306"/>
      <c r="B9" s="379"/>
      <c r="C9" s="282" t="s">
        <v>75</v>
      </c>
      <c r="D9" s="282"/>
      <c r="E9" s="377">
        <v>1391304000</v>
      </c>
      <c r="F9" s="377">
        <f>'[1]인건비총계표(보조금)'!F5+'[1]인건비총계표(보조금)'!F733</f>
        <v>1615353000</v>
      </c>
      <c r="G9" s="279">
        <f t="shared" si="0"/>
        <v>224049000</v>
      </c>
      <c r="H9" s="378">
        <f t="shared" si="1"/>
        <v>16.103525900881476</v>
      </c>
      <c r="I9" s="1541" t="s">
        <v>514</v>
      </c>
      <c r="J9" s="1542"/>
      <c r="K9" s="1542"/>
      <c r="L9" s="1542"/>
      <c r="M9" s="1542"/>
      <c r="N9" s="1542"/>
      <c r="O9" s="1542"/>
      <c r="P9" s="1542"/>
      <c r="Q9" s="1542"/>
      <c r="R9" s="380"/>
      <c r="T9" s="40"/>
    </row>
    <row r="10" spans="1:37" s="52" customFormat="1" ht="21.75" customHeight="1">
      <c r="A10" s="306"/>
      <c r="B10" s="311"/>
      <c r="C10" s="282" t="s">
        <v>63</v>
      </c>
      <c r="D10" s="282" t="s">
        <v>312</v>
      </c>
      <c r="E10" s="373">
        <v>433361280</v>
      </c>
      <c r="F10" s="373">
        <f>SUM(F11:F13)</f>
        <v>514179280</v>
      </c>
      <c r="G10" s="279">
        <f t="shared" si="0"/>
        <v>80818000</v>
      </c>
      <c r="H10" s="378">
        <f t="shared" si="1"/>
        <v>18.649104968491876</v>
      </c>
      <c r="I10" s="1545"/>
      <c r="J10" s="1551"/>
      <c r="K10" s="1551"/>
      <c r="L10" s="1551"/>
      <c r="M10" s="1551"/>
      <c r="N10" s="1551"/>
      <c r="O10" s="1551"/>
      <c r="P10" s="1551"/>
      <c r="Q10" s="1551"/>
      <c r="R10" s="381"/>
      <c r="T10" s="40"/>
    </row>
    <row r="11" spans="1:37" s="52" customFormat="1" ht="21" customHeight="1">
      <c r="A11" s="306"/>
      <c r="B11" s="311"/>
      <c r="C11" s="311"/>
      <c r="D11" s="339" t="s">
        <v>515</v>
      </c>
      <c r="E11" s="377">
        <v>134188200</v>
      </c>
      <c r="F11" s="377">
        <f>'[1]인건비총계표(보조금)'!M5+'[1]인건비총계표(보조금)'!M733</f>
        <v>157686600</v>
      </c>
      <c r="G11" s="279">
        <f t="shared" si="0"/>
        <v>23498400</v>
      </c>
      <c r="H11" s="378">
        <f t="shared" si="1"/>
        <v>17.51152485837056</v>
      </c>
      <c r="I11" s="1541"/>
      <c r="J11" s="1542"/>
      <c r="K11" s="1542"/>
      <c r="L11" s="1542"/>
      <c r="M11" s="1542"/>
      <c r="N11" s="1542"/>
      <c r="O11" s="1542"/>
      <c r="P11" s="1542"/>
      <c r="Q11" s="1542"/>
      <c r="R11" s="380"/>
      <c r="T11" s="40"/>
    </row>
    <row r="12" spans="1:37" s="52" customFormat="1" ht="21" customHeight="1">
      <c r="A12" s="306"/>
      <c r="B12" s="311"/>
      <c r="C12" s="311"/>
      <c r="D12" s="329" t="s">
        <v>516</v>
      </c>
      <c r="E12" s="377">
        <v>277853080</v>
      </c>
      <c r="F12" s="377">
        <f>'[1]인건비총계표(보조금)'!R5+'[1]인건비총계표(보조금)'!R733</f>
        <v>335572680</v>
      </c>
      <c r="G12" s="279">
        <f t="shared" si="0"/>
        <v>57719600</v>
      </c>
      <c r="H12" s="378">
        <f t="shared" si="1"/>
        <v>20.773424573879115</v>
      </c>
      <c r="I12" s="1541"/>
      <c r="J12" s="1542"/>
      <c r="K12" s="1542"/>
      <c r="L12" s="1542"/>
      <c r="M12" s="1542"/>
      <c r="N12" s="1542"/>
      <c r="O12" s="1542"/>
      <c r="P12" s="1542"/>
      <c r="Q12" s="1542"/>
      <c r="R12" s="380"/>
      <c r="T12" s="40"/>
    </row>
    <row r="13" spans="1:37" s="52" customFormat="1" ht="21" customHeight="1">
      <c r="A13" s="306"/>
      <c r="B13" s="311"/>
      <c r="C13" s="382"/>
      <c r="D13" s="282" t="s">
        <v>517</v>
      </c>
      <c r="E13" s="377">
        <v>21320000</v>
      </c>
      <c r="F13" s="377">
        <f>'[1]인건비총계표(보조금)'!O5+'[1]인건비총계표(보조금)'!O733</f>
        <v>20920000</v>
      </c>
      <c r="G13" s="279">
        <f t="shared" si="0"/>
        <v>-400000</v>
      </c>
      <c r="H13" s="378">
        <f t="shared" si="1"/>
        <v>-1.876172607879925</v>
      </c>
      <c r="I13" s="1548" t="s">
        <v>514</v>
      </c>
      <c r="J13" s="1549"/>
      <c r="K13" s="1549"/>
      <c r="L13" s="1549"/>
      <c r="M13" s="1549"/>
      <c r="N13" s="1549"/>
      <c r="O13" s="1549"/>
      <c r="P13" s="1549"/>
      <c r="Q13" s="1549"/>
      <c r="R13" s="1550"/>
      <c r="T13" s="40"/>
    </row>
    <row r="14" spans="1:37" s="52" customFormat="1" ht="21" hidden="1" customHeight="1">
      <c r="A14" s="306"/>
      <c r="B14" s="311"/>
      <c r="C14" s="311"/>
      <c r="D14" s="282"/>
      <c r="E14" s="377"/>
      <c r="G14" s="279"/>
      <c r="H14" s="378" t="e">
        <f t="shared" si="1"/>
        <v>#DIV/0!</v>
      </c>
      <c r="I14" s="1541"/>
      <c r="J14" s="1542"/>
      <c r="K14" s="1542"/>
      <c r="L14" s="1542"/>
      <c r="M14" s="1542"/>
      <c r="N14" s="1542"/>
      <c r="O14" s="1542"/>
      <c r="P14" s="1542"/>
      <c r="Q14" s="1542"/>
      <c r="R14" s="380"/>
      <c r="T14" s="40">
        <f>[1]다.국도시세입!F6-[1]라.국도비세출!F6</f>
        <v>0</v>
      </c>
    </row>
    <row r="15" spans="1:37" s="52" customFormat="1" ht="21" customHeight="1">
      <c r="A15" s="306"/>
      <c r="B15" s="311"/>
      <c r="C15" s="339" t="s">
        <v>518</v>
      </c>
      <c r="D15" s="339"/>
      <c r="E15" s="377">
        <v>153616310</v>
      </c>
      <c r="F15" s="377">
        <f>'[1]인건비총계표(보조금)'!W5+'[1]인건비총계표(보조금)'!W733</f>
        <v>179026890</v>
      </c>
      <c r="G15" s="279">
        <f t="shared" ref="G15:G55" si="2">F15-E15</f>
        <v>25410580</v>
      </c>
      <c r="H15" s="378">
        <f t="shared" si="1"/>
        <v>16.541589887167579</v>
      </c>
      <c r="I15" s="1541"/>
      <c r="J15" s="1542"/>
      <c r="K15" s="1542"/>
      <c r="L15" s="1542"/>
      <c r="M15" s="1542"/>
      <c r="N15" s="1542"/>
      <c r="O15" s="1542"/>
      <c r="P15" s="1542"/>
      <c r="Q15" s="1542"/>
      <c r="R15" s="1547"/>
      <c r="T15" s="40"/>
    </row>
    <row r="16" spans="1:37" s="52" customFormat="1" ht="21" customHeight="1">
      <c r="A16" s="306"/>
      <c r="B16" s="311"/>
      <c r="C16" s="383" t="s">
        <v>519</v>
      </c>
      <c r="D16" s="384" t="s">
        <v>312</v>
      </c>
      <c r="E16" s="385">
        <v>175638290</v>
      </c>
      <c r="F16" s="385">
        <f>SUM(F17:F20)</f>
        <v>208857220</v>
      </c>
      <c r="G16" s="279">
        <f t="shared" si="2"/>
        <v>33218930</v>
      </c>
      <c r="H16" s="378">
        <f t="shared" si="1"/>
        <v>18.913262022762805</v>
      </c>
      <c r="I16" s="1541"/>
      <c r="J16" s="1542"/>
      <c r="K16" s="1542"/>
      <c r="L16" s="1542"/>
      <c r="M16" s="1542"/>
      <c r="N16" s="1542"/>
      <c r="O16" s="1542"/>
      <c r="P16" s="1542"/>
      <c r="Q16" s="1542"/>
      <c r="R16" s="1547"/>
      <c r="T16" s="40"/>
      <c r="X16" s="40"/>
      <c r="Y16" s="386"/>
      <c r="Z16" s="387">
        <f>'[1]인건비총계표(보조금)'!U5-'[1]인건비총계표(보조금)'!U630</f>
        <v>1843998180</v>
      </c>
    </row>
    <row r="17" spans="1:26" s="52" customFormat="1" ht="29.25" customHeight="1">
      <c r="A17" s="306"/>
      <c r="B17" s="311"/>
      <c r="C17" s="379"/>
      <c r="D17" s="379" t="s">
        <v>520</v>
      </c>
      <c r="E17" s="388">
        <v>63773810</v>
      </c>
      <c r="F17" s="388">
        <f>'[1]인건비총계표(보조금)'!Y5+'[1]인건비총계표(보조금)'!Z5+'[1]인건비총계표(보조금)'!Y733+'[1]인건비총계표(보조금)'!Z733-7030</f>
        <v>78114360</v>
      </c>
      <c r="G17" s="389">
        <f t="shared" si="2"/>
        <v>14340550</v>
      </c>
      <c r="H17" s="378">
        <f t="shared" si="1"/>
        <v>22.486581874283505</v>
      </c>
      <c r="I17" s="1552" t="s">
        <v>521</v>
      </c>
      <c r="J17" s="1553"/>
      <c r="K17" s="1553"/>
      <c r="L17" s="1553"/>
      <c r="M17" s="1553"/>
      <c r="N17" s="1553"/>
      <c r="O17" s="1553"/>
      <c r="P17" s="1553"/>
      <c r="Q17" s="1553"/>
      <c r="R17" s="1554"/>
      <c r="T17" s="40">
        <f>'[1]인건비총계표(보조금)'!U5+'[1]인건비총계표(보조금)'!U733-'[1]인건비총계표(보조금)'!U630</f>
        <v>2124498180</v>
      </c>
      <c r="U17" s="390">
        <f>ROUNDUP((T17*6.67%)/2,-1)</f>
        <v>70852020</v>
      </c>
      <c r="V17" s="390">
        <f>ROUNDUP(U17*10.25%,-1)</f>
        <v>7262340</v>
      </c>
      <c r="W17" s="391">
        <f>SUM(U17:V17)</f>
        <v>78114360</v>
      </c>
      <c r="X17" s="40">
        <f>W17-F17</f>
        <v>0</v>
      </c>
      <c r="Y17" s="386"/>
      <c r="Z17" s="386">
        <f>SUM(Y16:Y17)</f>
        <v>0</v>
      </c>
    </row>
    <row r="18" spans="1:26" s="52" customFormat="1" ht="30" customHeight="1">
      <c r="A18" s="306"/>
      <c r="B18" s="311"/>
      <c r="C18" s="382"/>
      <c r="D18" s="339" t="s">
        <v>522</v>
      </c>
      <c r="E18" s="377">
        <v>81880880</v>
      </c>
      <c r="F18" s="377">
        <f>'[1]인건비총계표(보조금)'!X5+'[1]인건비총계표(보조금)'!X733</f>
        <v>95602820</v>
      </c>
      <c r="G18" s="279">
        <f t="shared" si="2"/>
        <v>13721940</v>
      </c>
      <c r="H18" s="378">
        <f t="shared" si="1"/>
        <v>16.75841783820594</v>
      </c>
      <c r="I18" s="1555" t="s">
        <v>523</v>
      </c>
      <c r="J18" s="1556"/>
      <c r="K18" s="1556"/>
      <c r="L18" s="1556"/>
      <c r="M18" s="1556"/>
      <c r="N18" s="1556"/>
      <c r="O18" s="1556"/>
      <c r="P18" s="1556"/>
      <c r="Q18" s="1556"/>
      <c r="R18" s="1557"/>
      <c r="T18" s="40">
        <f>'[1]인건비총계표(보조금)'!U5-'[1]인건비총계표(보조금)'!U630</f>
        <v>1843998180</v>
      </c>
      <c r="U18" s="40">
        <f>ROUNDUP(T18*4.5%,-1)</f>
        <v>82979920</v>
      </c>
      <c r="V18" s="40">
        <f>F18-U18</f>
        <v>12622900</v>
      </c>
      <c r="W18" s="387">
        <f>SUM(U18:V18)</f>
        <v>95602820</v>
      </c>
      <c r="X18" s="40">
        <f t="shared" ref="X18:X20" si="3">W18-F18</f>
        <v>0</v>
      </c>
      <c r="Y18" s="386"/>
    </row>
    <row r="19" spans="1:26" s="52" customFormat="1" ht="26.25" customHeight="1">
      <c r="A19" s="306"/>
      <c r="B19" s="311"/>
      <c r="C19" s="311"/>
      <c r="D19" s="282" t="s">
        <v>524</v>
      </c>
      <c r="E19" s="377">
        <v>15873670</v>
      </c>
      <c r="F19" s="377">
        <f>'[1]인건비총계표(보조금)'!AA5+'[1]인건비총계표(보조금)'!AA733</f>
        <v>18603390</v>
      </c>
      <c r="G19" s="279">
        <f t="shared" si="2"/>
        <v>2729720</v>
      </c>
      <c r="H19" s="378">
        <f t="shared" si="1"/>
        <v>17.196527331108687</v>
      </c>
      <c r="I19" s="1555" t="s">
        <v>525</v>
      </c>
      <c r="J19" s="1556"/>
      <c r="K19" s="1556"/>
      <c r="L19" s="1556"/>
      <c r="M19" s="1556"/>
      <c r="N19" s="1556"/>
      <c r="O19" s="1556"/>
      <c r="P19" s="1556"/>
      <c r="Q19" s="1556"/>
      <c r="R19" s="1557"/>
      <c r="T19" s="40">
        <f>'[1]인건비총계표(보조금)'!U5-'[1]인건비총계표(보조금)'!U6-'[1]인건비총계표(보조금)'!U630</f>
        <v>1786567680</v>
      </c>
      <c r="U19" s="40">
        <f>ROUNDUP(T19*0.9%,-1)</f>
        <v>16079110</v>
      </c>
      <c r="V19" s="40">
        <f>F19-U19</f>
        <v>2524280</v>
      </c>
      <c r="W19" s="387">
        <f t="shared" ref="W19:W21" si="4">SUM(U19:V19)</f>
        <v>18603390</v>
      </c>
      <c r="X19" s="40">
        <f t="shared" si="3"/>
        <v>0</v>
      </c>
    </row>
    <row r="20" spans="1:26" s="52" customFormat="1" ht="25.5" customHeight="1">
      <c r="A20" s="306"/>
      <c r="B20" s="311"/>
      <c r="C20" s="309"/>
      <c r="D20" s="282" t="s">
        <v>526</v>
      </c>
      <c r="E20" s="377">
        <v>14109930</v>
      </c>
      <c r="F20" s="377">
        <f>'[1]인건비총계표(보조금)'!AB5+'[1]인건비총계표(보조금)'!AB733</f>
        <v>16536650</v>
      </c>
      <c r="G20" s="279">
        <f t="shared" si="2"/>
        <v>2426720</v>
      </c>
      <c r="H20" s="378">
        <f t="shared" si="1"/>
        <v>17.19866788850122</v>
      </c>
      <c r="I20" s="392" t="s">
        <v>527</v>
      </c>
      <c r="J20" s="393"/>
      <c r="K20" s="394"/>
      <c r="L20" s="394"/>
      <c r="M20" s="395"/>
      <c r="N20" s="395"/>
      <c r="O20" s="1553" t="s">
        <v>528</v>
      </c>
      <c r="P20" s="1553"/>
      <c r="Q20" s="1553"/>
      <c r="R20" s="380"/>
      <c r="T20" s="40">
        <f>'[1]인건비총계표(보조금)'!U5-'[1]인건비총계표(보조금)'!U6-'[1]인건비총계표(보조금)'!U630</f>
        <v>1786567680</v>
      </c>
      <c r="U20" s="40">
        <f>ROUNDUP(T20*0.8%,-1)</f>
        <v>14292550</v>
      </c>
      <c r="V20" s="40">
        <f>F20-U20</f>
        <v>2244100</v>
      </c>
      <c r="W20" s="387">
        <f t="shared" si="4"/>
        <v>16536650</v>
      </c>
      <c r="X20" s="40">
        <f t="shared" si="3"/>
        <v>0</v>
      </c>
    </row>
    <row r="21" spans="1:26" s="52" customFormat="1" ht="21" hidden="1" customHeight="1">
      <c r="A21" s="306"/>
      <c r="B21" s="309"/>
      <c r="C21" s="309" t="s">
        <v>320</v>
      </c>
      <c r="D21" s="309"/>
      <c r="E21" s="385">
        <v>0</v>
      </c>
      <c r="F21" s="385">
        <v>0</v>
      </c>
      <c r="G21" s="279">
        <f t="shared" si="2"/>
        <v>0</v>
      </c>
      <c r="H21" s="378" t="e">
        <f t="shared" si="1"/>
        <v>#DIV/0!</v>
      </c>
      <c r="I21" s="1548"/>
      <c r="J21" s="1549"/>
      <c r="K21" s="1549"/>
      <c r="L21" s="1549"/>
      <c r="M21" s="1549"/>
      <c r="N21" s="1549"/>
      <c r="O21" s="1549"/>
      <c r="P21" s="1549"/>
      <c r="Q21" s="1549"/>
      <c r="R21" s="1550"/>
      <c r="T21" s="40"/>
      <c r="W21" s="387">
        <f t="shared" si="4"/>
        <v>0</v>
      </c>
    </row>
    <row r="22" spans="1:26" s="52" customFormat="1" ht="25.5" customHeight="1">
      <c r="A22" s="306"/>
      <c r="B22" s="282" t="s">
        <v>529</v>
      </c>
      <c r="C22" s="282" t="s">
        <v>312</v>
      </c>
      <c r="D22" s="282"/>
      <c r="E22" s="377">
        <v>490000</v>
      </c>
      <c r="F22" s="377">
        <f>SUM(F23:F25)</f>
        <v>0</v>
      </c>
      <c r="G22" s="279">
        <f t="shared" si="2"/>
        <v>-490000</v>
      </c>
      <c r="H22" s="378">
        <f t="shared" si="1"/>
        <v>-100</v>
      </c>
      <c r="I22" s="392"/>
      <c r="J22" s="393"/>
      <c r="K22" s="394"/>
      <c r="L22" s="394"/>
      <c r="M22" s="395"/>
      <c r="N22" s="395"/>
      <c r="O22" s="395"/>
      <c r="P22" s="393"/>
      <c r="Q22" s="375"/>
      <c r="R22" s="380"/>
      <c r="T22" s="40"/>
    </row>
    <row r="23" spans="1:26" s="52" customFormat="1" ht="21.75" hidden="1" customHeight="1">
      <c r="A23" s="306"/>
      <c r="B23" s="307"/>
      <c r="C23" s="282" t="s">
        <v>530</v>
      </c>
      <c r="D23" s="282"/>
      <c r="E23" s="377">
        <v>0</v>
      </c>
      <c r="F23" s="377">
        <v>0</v>
      </c>
      <c r="G23" s="279">
        <f t="shared" si="2"/>
        <v>0</v>
      </c>
      <c r="H23" s="378" t="e">
        <f t="shared" si="1"/>
        <v>#DIV/0!</v>
      </c>
      <c r="I23" s="392"/>
      <c r="J23" s="393"/>
      <c r="K23" s="394"/>
      <c r="L23" s="394"/>
      <c r="M23" s="395"/>
      <c r="N23" s="395"/>
      <c r="O23" s="395"/>
      <c r="P23" s="393"/>
      <c r="Q23" s="375"/>
      <c r="R23" s="380"/>
      <c r="T23" s="40"/>
    </row>
    <row r="24" spans="1:26" s="52" customFormat="1" ht="21.75" hidden="1" customHeight="1">
      <c r="A24" s="306"/>
      <c r="B24" s="311"/>
      <c r="C24" s="282" t="s">
        <v>531</v>
      </c>
      <c r="D24" s="282"/>
      <c r="E24" s="377">
        <v>0</v>
      </c>
      <c r="F24" s="377">
        <v>0</v>
      </c>
      <c r="G24" s="279">
        <f t="shared" si="2"/>
        <v>0</v>
      </c>
      <c r="H24" s="378" t="e">
        <f t="shared" si="1"/>
        <v>#DIV/0!</v>
      </c>
      <c r="I24" s="392"/>
      <c r="J24" s="393"/>
      <c r="K24" s="394"/>
      <c r="L24" s="394"/>
      <c r="M24" s="395"/>
      <c r="N24" s="395"/>
      <c r="O24" s="395"/>
      <c r="P24" s="393"/>
      <c r="Q24" s="375"/>
      <c r="R24" s="380"/>
      <c r="T24" s="40"/>
    </row>
    <row r="25" spans="1:26" s="52" customFormat="1" ht="21.75" customHeight="1">
      <c r="A25" s="306"/>
      <c r="B25" s="309"/>
      <c r="C25" s="282" t="s">
        <v>323</v>
      </c>
      <c r="D25" s="282"/>
      <c r="E25" s="377">
        <v>490000</v>
      </c>
      <c r="F25" s="377"/>
      <c r="G25" s="279">
        <f t="shared" si="2"/>
        <v>-490000</v>
      </c>
      <c r="H25" s="378">
        <f t="shared" si="1"/>
        <v>-100</v>
      </c>
      <c r="I25" s="1555" t="s">
        <v>532</v>
      </c>
      <c r="J25" s="1556"/>
      <c r="K25" s="1556"/>
      <c r="L25" s="1556"/>
      <c r="M25" s="1556"/>
      <c r="N25" s="1556"/>
      <c r="O25" s="1556"/>
      <c r="P25" s="1556"/>
      <c r="Q25" s="1556"/>
      <c r="R25" s="1557"/>
      <c r="T25" s="40"/>
    </row>
    <row r="26" spans="1:26" s="52" customFormat="1" ht="21.75" customHeight="1">
      <c r="A26" s="306"/>
      <c r="B26" s="282" t="s">
        <v>324</v>
      </c>
      <c r="C26" s="282" t="s">
        <v>312</v>
      </c>
      <c r="D26" s="282"/>
      <c r="E26" s="377">
        <v>58210000</v>
      </c>
      <c r="F26" s="377">
        <f>F27+F28+F29+F30+F34+F35</f>
        <v>62458000</v>
      </c>
      <c r="G26" s="279">
        <f t="shared" si="2"/>
        <v>4248000</v>
      </c>
      <c r="H26" s="378">
        <f t="shared" si="1"/>
        <v>7.2977151692149116</v>
      </c>
      <c r="I26" s="1531"/>
      <c r="J26" s="1534"/>
      <c r="K26" s="1534"/>
      <c r="L26" s="1534"/>
      <c r="M26" s="1534"/>
      <c r="N26" s="1534"/>
      <c r="O26" s="1534"/>
      <c r="P26" s="1534"/>
      <c r="Q26" s="1534"/>
      <c r="R26" s="1535"/>
      <c r="T26" s="40"/>
    </row>
    <row r="27" spans="1:26" s="52" customFormat="1" ht="21.75" hidden="1" customHeight="1">
      <c r="A27" s="306"/>
      <c r="B27" s="307"/>
      <c r="C27" s="282" t="s">
        <v>326</v>
      </c>
      <c r="D27" s="282" t="s">
        <v>533</v>
      </c>
      <c r="E27" s="377">
        <v>0</v>
      </c>
      <c r="F27" s="377">
        <v>0</v>
      </c>
      <c r="G27" s="279">
        <f t="shared" si="2"/>
        <v>0</v>
      </c>
      <c r="H27" s="378" t="e">
        <f t="shared" si="1"/>
        <v>#DIV/0!</v>
      </c>
      <c r="I27" s="1531"/>
      <c r="J27" s="1534"/>
      <c r="K27" s="1534"/>
      <c r="L27" s="1534"/>
      <c r="M27" s="1534"/>
      <c r="N27" s="1534"/>
      <c r="O27" s="1534"/>
      <c r="P27" s="1534"/>
      <c r="Q27" s="1534"/>
      <c r="R27" s="1535"/>
      <c r="T27" s="40"/>
    </row>
    <row r="28" spans="1:26" s="52" customFormat="1" ht="21.75" customHeight="1">
      <c r="A28" s="306"/>
      <c r="B28" s="311"/>
      <c r="C28" s="339" t="s">
        <v>534</v>
      </c>
      <c r="D28" s="282"/>
      <c r="E28" s="377">
        <v>9084170</v>
      </c>
      <c r="F28" s="377">
        <f>9291720-34170</f>
        <v>9257550</v>
      </c>
      <c r="G28" s="279">
        <f t="shared" si="2"/>
        <v>173380</v>
      </c>
      <c r="H28" s="378">
        <f t="shared" si="1"/>
        <v>1.9085948413558971</v>
      </c>
      <c r="I28" s="1531" t="s">
        <v>535</v>
      </c>
      <c r="J28" s="1534"/>
      <c r="K28" s="1534"/>
      <c r="L28" s="1534"/>
      <c r="M28" s="1534"/>
      <c r="N28" s="1534"/>
      <c r="O28" s="1534"/>
      <c r="P28" s="1534"/>
      <c r="Q28" s="1534"/>
      <c r="R28" s="1535"/>
      <c r="T28" s="40"/>
    </row>
    <row r="29" spans="1:26" s="52" customFormat="1" ht="21.75" customHeight="1">
      <c r="A29" s="306"/>
      <c r="B29" s="311"/>
      <c r="C29" s="282" t="s">
        <v>329</v>
      </c>
      <c r="D29" s="282"/>
      <c r="E29" s="377">
        <v>38000000</v>
      </c>
      <c r="F29" s="377">
        <v>45000000</v>
      </c>
      <c r="G29" s="279">
        <f t="shared" si="2"/>
        <v>7000000</v>
      </c>
      <c r="H29" s="378">
        <f t="shared" si="1"/>
        <v>18.421052631578945</v>
      </c>
      <c r="I29" s="1563" t="s">
        <v>536</v>
      </c>
      <c r="J29" s="1534"/>
      <c r="K29" s="1534"/>
      <c r="L29" s="1534"/>
      <c r="M29" s="1534"/>
      <c r="N29" s="1534"/>
      <c r="O29" s="1534"/>
      <c r="P29" s="1534"/>
      <c r="Q29" s="1534"/>
      <c r="R29" s="1535"/>
      <c r="T29" s="40"/>
      <c r="U29" s="40"/>
    </row>
    <row r="30" spans="1:26" s="52" customFormat="1" ht="21.75" customHeight="1">
      <c r="A30" s="306"/>
      <c r="B30" s="311"/>
      <c r="C30" s="282" t="s">
        <v>330</v>
      </c>
      <c r="D30" s="282"/>
      <c r="E30" s="377">
        <v>6625830</v>
      </c>
      <c r="F30" s="377">
        <f>3666280+34170</f>
        <v>3700450</v>
      </c>
      <c r="G30" s="279">
        <f t="shared" si="2"/>
        <v>-2925380</v>
      </c>
      <c r="H30" s="378">
        <f t="shared" si="1"/>
        <v>-44.151147856193113</v>
      </c>
      <c r="I30" s="1531" t="s">
        <v>537</v>
      </c>
      <c r="J30" s="1534"/>
      <c r="K30" s="1534"/>
      <c r="L30" s="1534"/>
      <c r="M30" s="1534"/>
      <c r="N30" s="1534"/>
      <c r="O30" s="1534"/>
      <c r="P30" s="1534"/>
      <c r="Q30" s="1534"/>
      <c r="R30" s="1535"/>
      <c r="T30" s="40"/>
      <c r="U30" s="40"/>
    </row>
    <row r="31" spans="1:26" s="52" customFormat="1" ht="21.75" hidden="1" customHeight="1">
      <c r="A31" s="306"/>
      <c r="B31" s="311"/>
      <c r="C31" s="307"/>
      <c r="D31" s="282" t="s">
        <v>538</v>
      </c>
      <c r="E31" s="377"/>
      <c r="F31" s="377"/>
      <c r="G31" s="279">
        <f t="shared" si="2"/>
        <v>0</v>
      </c>
      <c r="H31" s="378" t="e">
        <f t="shared" si="1"/>
        <v>#DIV/0!</v>
      </c>
      <c r="I31" s="1531" t="s">
        <v>539</v>
      </c>
      <c r="J31" s="1534"/>
      <c r="K31" s="1534"/>
      <c r="L31" s="1534"/>
      <c r="M31" s="1534"/>
      <c r="N31" s="1534"/>
      <c r="O31" s="1534"/>
      <c r="P31" s="1534"/>
      <c r="Q31" s="1534"/>
      <c r="R31" s="1535"/>
      <c r="T31" s="40"/>
      <c r="U31" s="387">
        <f>SUM(U29:U30)</f>
        <v>0</v>
      </c>
    </row>
    <row r="32" spans="1:26" s="52" customFormat="1" ht="21.75" hidden="1" customHeight="1">
      <c r="A32" s="306"/>
      <c r="B32" s="311"/>
      <c r="C32" s="311"/>
      <c r="D32" s="282" t="s">
        <v>540</v>
      </c>
      <c r="E32" s="377">
        <v>0</v>
      </c>
      <c r="F32" s="377">
        <v>0</v>
      </c>
      <c r="G32" s="279">
        <f t="shared" si="2"/>
        <v>0</v>
      </c>
      <c r="H32" s="378" t="e">
        <f t="shared" si="1"/>
        <v>#DIV/0!</v>
      </c>
      <c r="I32" s="1531"/>
      <c r="J32" s="1534"/>
      <c r="K32" s="1534"/>
      <c r="L32" s="1534"/>
      <c r="M32" s="1534"/>
      <c r="N32" s="1534"/>
      <c r="O32" s="1534"/>
      <c r="P32" s="1534"/>
      <c r="Q32" s="1534"/>
      <c r="R32" s="1535"/>
      <c r="T32" s="40"/>
    </row>
    <row r="33" spans="1:20" s="52" customFormat="1" ht="21.75" hidden="1" customHeight="1">
      <c r="A33" s="306"/>
      <c r="B33" s="311"/>
      <c r="C33" s="309"/>
      <c r="D33" s="282"/>
      <c r="E33" s="377"/>
      <c r="F33" s="377"/>
      <c r="G33" s="279">
        <f t="shared" si="2"/>
        <v>0</v>
      </c>
      <c r="H33" s="378" t="e">
        <f t="shared" si="1"/>
        <v>#DIV/0!</v>
      </c>
      <c r="I33" s="1531"/>
      <c r="J33" s="1534"/>
      <c r="K33" s="1534"/>
      <c r="L33" s="1534"/>
      <c r="M33" s="1534"/>
      <c r="N33" s="1534"/>
      <c r="O33" s="1534"/>
      <c r="P33" s="1534"/>
      <c r="Q33" s="1534"/>
      <c r="R33" s="1535"/>
      <c r="T33" s="40"/>
    </row>
    <row r="34" spans="1:20" s="52" customFormat="1" ht="21.75" customHeight="1">
      <c r="A34" s="299"/>
      <c r="B34" s="309"/>
      <c r="C34" s="282" t="s">
        <v>331</v>
      </c>
      <c r="D34" s="282"/>
      <c r="E34" s="377">
        <v>4500000</v>
      </c>
      <c r="F34" s="377">
        <v>4500000</v>
      </c>
      <c r="G34" s="279">
        <f t="shared" si="2"/>
        <v>0</v>
      </c>
      <c r="H34" s="378">
        <f t="shared" si="1"/>
        <v>0</v>
      </c>
      <c r="I34" s="1531" t="s">
        <v>541</v>
      </c>
      <c r="J34" s="1534"/>
      <c r="K34" s="1534"/>
      <c r="L34" s="1534"/>
      <c r="M34" s="1534"/>
      <c r="N34" s="1534"/>
      <c r="O34" s="1534"/>
      <c r="P34" s="1534"/>
      <c r="Q34" s="1534"/>
      <c r="R34" s="1535"/>
      <c r="T34" s="40"/>
    </row>
    <row r="35" spans="1:20" s="52" customFormat="1" ht="21.75" hidden="1" customHeight="1">
      <c r="A35" s="299"/>
      <c r="B35" s="309"/>
      <c r="C35" s="309" t="s">
        <v>332</v>
      </c>
      <c r="D35" s="282"/>
      <c r="E35" s="377">
        <v>0</v>
      </c>
      <c r="F35" s="377">
        <v>0</v>
      </c>
      <c r="G35" s="279">
        <f t="shared" si="2"/>
        <v>0</v>
      </c>
      <c r="H35" s="378" t="e">
        <f t="shared" si="1"/>
        <v>#DIV/0!</v>
      </c>
      <c r="I35" s="1531" t="s">
        <v>537</v>
      </c>
      <c r="J35" s="1534"/>
      <c r="K35" s="1534"/>
      <c r="L35" s="1534"/>
      <c r="M35" s="1534"/>
      <c r="N35" s="1534"/>
      <c r="O35" s="1534"/>
      <c r="P35" s="1534"/>
      <c r="Q35" s="1534"/>
      <c r="R35" s="1535"/>
      <c r="T35" s="40"/>
    </row>
    <row r="36" spans="1:20" s="52" customFormat="1" ht="24.75" customHeight="1">
      <c r="A36" s="299" t="s">
        <v>333</v>
      </c>
      <c r="B36" s="1558" t="s">
        <v>309</v>
      </c>
      <c r="C36" s="1559"/>
      <c r="D36" s="309"/>
      <c r="E36" s="385">
        <v>12000000</v>
      </c>
      <c r="F36" s="385">
        <f>F37</f>
        <v>16430000</v>
      </c>
      <c r="G36" s="279">
        <f t="shared" si="2"/>
        <v>4430000</v>
      </c>
      <c r="H36" s="378">
        <f t="shared" si="1"/>
        <v>36.916666666666664</v>
      </c>
      <c r="I36" s="1560"/>
      <c r="J36" s="1561"/>
      <c r="K36" s="1561"/>
      <c r="L36" s="1561"/>
      <c r="M36" s="1561"/>
      <c r="N36" s="1561"/>
      <c r="O36" s="1561"/>
      <c r="P36" s="1561"/>
      <c r="Q36" s="1561"/>
      <c r="R36" s="1562"/>
      <c r="T36" s="40"/>
    </row>
    <row r="37" spans="1:20" s="52" customFormat="1" ht="24" customHeight="1">
      <c r="A37" s="297"/>
      <c r="B37" s="282" t="s">
        <v>334</v>
      </c>
      <c r="C37" s="282" t="s">
        <v>312</v>
      </c>
      <c r="D37" s="282"/>
      <c r="E37" s="377">
        <v>12000000</v>
      </c>
      <c r="F37" s="377">
        <f>SUM(F38:F40)</f>
        <v>16430000</v>
      </c>
      <c r="G37" s="279">
        <f t="shared" si="2"/>
        <v>4430000</v>
      </c>
      <c r="H37" s="378">
        <f t="shared" si="1"/>
        <v>36.916666666666664</v>
      </c>
      <c r="I37" s="1531"/>
      <c r="J37" s="1534"/>
      <c r="K37" s="1534"/>
      <c r="L37" s="1534"/>
      <c r="M37" s="1534"/>
      <c r="N37" s="1534"/>
      <c r="O37" s="1534"/>
      <c r="P37" s="1534"/>
      <c r="Q37" s="1534"/>
      <c r="R37" s="1535"/>
      <c r="T37" s="40"/>
    </row>
    <row r="38" spans="1:20" s="52" customFormat="1" ht="19.5" hidden="1" customHeight="1">
      <c r="A38" s="306"/>
      <c r="B38" s="307"/>
      <c r="C38" s="282" t="s">
        <v>334</v>
      </c>
      <c r="D38" s="282"/>
      <c r="E38" s="377">
        <v>0</v>
      </c>
      <c r="F38" s="377">
        <v>0</v>
      </c>
      <c r="G38" s="279">
        <f t="shared" si="2"/>
        <v>0</v>
      </c>
      <c r="H38" s="378" t="e">
        <f t="shared" si="1"/>
        <v>#DIV/0!</v>
      </c>
      <c r="I38" s="1531"/>
      <c r="J38" s="1534"/>
      <c r="K38" s="1534"/>
      <c r="L38" s="1534"/>
      <c r="M38" s="1534"/>
      <c r="N38" s="1534"/>
      <c r="O38" s="1534"/>
      <c r="P38" s="1534"/>
      <c r="Q38" s="1534"/>
      <c r="R38" s="1535"/>
      <c r="T38" s="40"/>
    </row>
    <row r="39" spans="1:20" s="52" customFormat="1" ht="19.5" customHeight="1">
      <c r="A39" s="306"/>
      <c r="B39" s="311"/>
      <c r="C39" s="339" t="s">
        <v>335</v>
      </c>
      <c r="D39" s="339"/>
      <c r="E39" s="377">
        <v>0</v>
      </c>
      <c r="F39" s="377">
        <v>330000</v>
      </c>
      <c r="G39" s="279">
        <f t="shared" si="2"/>
        <v>330000</v>
      </c>
      <c r="H39" s="378" t="e">
        <f t="shared" si="1"/>
        <v>#DIV/0!</v>
      </c>
      <c r="I39" s="1531" t="s">
        <v>542</v>
      </c>
      <c r="J39" s="1534"/>
      <c r="K39" s="1534"/>
      <c r="L39" s="1534"/>
      <c r="M39" s="1534"/>
      <c r="N39" s="1534"/>
      <c r="O39" s="1534"/>
      <c r="P39" s="1534"/>
      <c r="Q39" s="1534"/>
      <c r="R39" s="1535"/>
      <c r="T39" s="40"/>
    </row>
    <row r="40" spans="1:20" s="52" customFormat="1" ht="28.5" customHeight="1">
      <c r="A40" s="317"/>
      <c r="B40" s="318"/>
      <c r="C40" s="396" t="s">
        <v>543</v>
      </c>
      <c r="D40" s="396" t="s">
        <v>544</v>
      </c>
      <c r="E40" s="397">
        <v>12000000</v>
      </c>
      <c r="F40" s="397">
        <v>16100000</v>
      </c>
      <c r="G40" s="398">
        <f t="shared" si="2"/>
        <v>4100000</v>
      </c>
      <c r="H40" s="399">
        <f t="shared" si="1"/>
        <v>34.166666666666664</v>
      </c>
      <c r="I40" s="1538" t="s">
        <v>545</v>
      </c>
      <c r="J40" s="1564"/>
      <c r="K40" s="1564"/>
      <c r="L40" s="1564"/>
      <c r="M40" s="1564"/>
      <c r="N40" s="1564"/>
      <c r="O40" s="1564"/>
      <c r="P40" s="1564"/>
      <c r="Q40" s="1564"/>
      <c r="R40" s="1565"/>
      <c r="T40" s="40"/>
    </row>
    <row r="41" spans="1:20" s="52" customFormat="1" ht="24.75" customHeight="1">
      <c r="A41" s="299" t="s">
        <v>337</v>
      </c>
      <c r="B41" s="1558" t="s">
        <v>309</v>
      </c>
      <c r="C41" s="1559"/>
      <c r="D41" s="384"/>
      <c r="E41" s="385">
        <v>165432640</v>
      </c>
      <c r="F41" s="385">
        <f>F42+F50</f>
        <v>165765000</v>
      </c>
      <c r="G41" s="400">
        <f t="shared" si="2"/>
        <v>332360</v>
      </c>
      <c r="H41" s="378">
        <f t="shared" si="1"/>
        <v>0.20090352182011964</v>
      </c>
      <c r="I41" s="1507"/>
      <c r="J41" s="1508"/>
      <c r="K41" s="1508"/>
      <c r="L41" s="1508"/>
      <c r="M41" s="1508"/>
      <c r="N41" s="1508"/>
      <c r="O41" s="1508"/>
      <c r="P41" s="1508"/>
      <c r="Q41" s="1508"/>
      <c r="R41" s="1509"/>
      <c r="T41" s="40"/>
    </row>
    <row r="42" spans="1:20" s="52" customFormat="1" ht="24.75" customHeight="1">
      <c r="A42" s="297"/>
      <c r="B42" s="282" t="s">
        <v>324</v>
      </c>
      <c r="C42" s="339" t="s">
        <v>312</v>
      </c>
      <c r="D42" s="339"/>
      <c r="E42" s="377">
        <v>155332640</v>
      </c>
      <c r="F42" s="377">
        <f>SUM(F43,F47)</f>
        <v>162239200</v>
      </c>
      <c r="G42" s="279">
        <f t="shared" si="2"/>
        <v>6906560</v>
      </c>
      <c r="H42" s="378">
        <f t="shared" si="1"/>
        <v>4.44630310796237</v>
      </c>
      <c r="I42" s="1555"/>
      <c r="J42" s="1556"/>
      <c r="K42" s="1556"/>
      <c r="L42" s="1556"/>
      <c r="M42" s="1556"/>
      <c r="N42" s="1556"/>
      <c r="O42" s="1556"/>
      <c r="P42" s="1556"/>
      <c r="Q42" s="1556"/>
      <c r="R42" s="1557"/>
      <c r="S42" s="83"/>
      <c r="T42" s="40"/>
    </row>
    <row r="43" spans="1:20" s="52" customFormat="1" ht="24.75" customHeight="1">
      <c r="A43" s="306"/>
      <c r="B43" s="307"/>
      <c r="C43" s="339" t="s">
        <v>340</v>
      </c>
      <c r="D43" s="339" t="s">
        <v>312</v>
      </c>
      <c r="E43" s="377">
        <v>134362640</v>
      </c>
      <c r="F43" s="377">
        <f>SUM(F44:F46)</f>
        <v>140739200</v>
      </c>
      <c r="G43" s="279">
        <f t="shared" si="2"/>
        <v>6376560</v>
      </c>
      <c r="H43" s="378">
        <f t="shared" si="1"/>
        <v>4.7457835005325881</v>
      </c>
      <c r="I43" s="1531"/>
      <c r="J43" s="1534"/>
      <c r="K43" s="1534"/>
      <c r="L43" s="1534"/>
      <c r="M43" s="1534"/>
      <c r="N43" s="1534"/>
      <c r="O43" s="1534"/>
      <c r="P43" s="1534"/>
      <c r="Q43" s="1534"/>
      <c r="R43" s="1535"/>
      <c r="S43" s="83"/>
      <c r="T43" s="40"/>
    </row>
    <row r="44" spans="1:20" s="52" customFormat="1" ht="24.75" customHeight="1">
      <c r="A44" s="306"/>
      <c r="B44" s="311"/>
      <c r="C44" s="379"/>
      <c r="D44" s="379" t="s">
        <v>399</v>
      </c>
      <c r="E44" s="401">
        <v>3412200</v>
      </c>
      <c r="F44" s="401">
        <f>[1]생활보장급여!G8</f>
        <v>3543500</v>
      </c>
      <c r="G44" s="279">
        <f t="shared" si="2"/>
        <v>131300</v>
      </c>
      <c r="H44" s="378">
        <f t="shared" si="1"/>
        <v>3.8479573295820879</v>
      </c>
      <c r="I44" s="1569" t="s">
        <v>546</v>
      </c>
      <c r="J44" s="1567"/>
      <c r="K44" s="1567"/>
      <c r="L44" s="1567"/>
      <c r="M44" s="1567"/>
      <c r="N44" s="1567"/>
      <c r="O44" s="1567"/>
      <c r="P44" s="1567"/>
      <c r="Q44" s="1567"/>
      <c r="R44" s="1568"/>
      <c r="S44" s="83"/>
      <c r="T44" s="40"/>
    </row>
    <row r="45" spans="1:20" s="52" customFormat="1" ht="24.75" customHeight="1">
      <c r="A45" s="306"/>
      <c r="B45" s="311"/>
      <c r="C45" s="382"/>
      <c r="D45" s="339" t="s">
        <v>401</v>
      </c>
      <c r="E45" s="377">
        <v>129440280</v>
      </c>
      <c r="F45" s="377">
        <f>[1]생활보장급여!G10</f>
        <v>135608100</v>
      </c>
      <c r="G45" s="279">
        <f t="shared" si="2"/>
        <v>6167820</v>
      </c>
      <c r="H45" s="378">
        <f t="shared" si="1"/>
        <v>4.7649927827721017</v>
      </c>
      <c r="I45" s="1569" t="s">
        <v>547</v>
      </c>
      <c r="J45" s="1567"/>
      <c r="K45" s="1567"/>
      <c r="L45" s="1567"/>
      <c r="M45" s="1567"/>
      <c r="N45" s="1567"/>
      <c r="O45" s="1567"/>
      <c r="P45" s="1567"/>
      <c r="Q45" s="1567"/>
      <c r="R45" s="1568"/>
      <c r="S45" s="83"/>
      <c r="T45" s="40"/>
    </row>
    <row r="46" spans="1:20" s="52" customFormat="1" ht="24.75" customHeight="1">
      <c r="A46" s="306"/>
      <c r="B46" s="311"/>
      <c r="C46" s="382"/>
      <c r="D46" s="339" t="s">
        <v>403</v>
      </c>
      <c r="E46" s="377">
        <v>1510160</v>
      </c>
      <c r="F46" s="377">
        <f>[1]생활보장급여!G11</f>
        <v>1587600</v>
      </c>
      <c r="G46" s="279">
        <f t="shared" si="2"/>
        <v>77440</v>
      </c>
      <c r="H46" s="378">
        <f t="shared" si="1"/>
        <v>5.1279334640038146</v>
      </c>
      <c r="I46" s="1531" t="s">
        <v>548</v>
      </c>
      <c r="J46" s="1534"/>
      <c r="K46" s="1534"/>
      <c r="L46" s="1534"/>
      <c r="M46" s="1534"/>
      <c r="N46" s="1534"/>
      <c r="O46" s="1534"/>
      <c r="P46" s="1534"/>
      <c r="Q46" s="1534"/>
      <c r="R46" s="1535"/>
      <c r="S46" s="83"/>
      <c r="T46" s="40"/>
    </row>
    <row r="47" spans="1:20" s="52" customFormat="1" ht="24.75" customHeight="1">
      <c r="A47" s="306"/>
      <c r="B47" s="402"/>
      <c r="C47" s="383" t="s">
        <v>549</v>
      </c>
      <c r="D47" s="382" t="s">
        <v>312</v>
      </c>
      <c r="E47" s="403">
        <v>20970000</v>
      </c>
      <c r="F47" s="403">
        <f>SUM(F48:F49)</f>
        <v>21500000</v>
      </c>
      <c r="G47" s="279">
        <f t="shared" si="2"/>
        <v>530000</v>
      </c>
      <c r="H47" s="378">
        <f t="shared" si="1"/>
        <v>2.5274201239866478</v>
      </c>
      <c r="I47" s="1528"/>
      <c r="J47" s="1542"/>
      <c r="K47" s="1542"/>
      <c r="L47" s="1542"/>
      <c r="M47" s="1542"/>
      <c r="N47" s="1542"/>
      <c r="O47" s="1542"/>
      <c r="P47" s="1542"/>
      <c r="Q47" s="1542"/>
      <c r="R47" s="1547"/>
      <c r="S47" s="83"/>
      <c r="T47" s="40"/>
    </row>
    <row r="48" spans="1:20" s="52" customFormat="1" ht="30.75" customHeight="1">
      <c r="A48" s="306"/>
      <c r="B48" s="402"/>
      <c r="C48" s="307"/>
      <c r="D48" s="282" t="s">
        <v>550</v>
      </c>
      <c r="E48" s="377">
        <v>7000000</v>
      </c>
      <c r="F48" s="377">
        <v>7000000</v>
      </c>
      <c r="G48" s="279">
        <f t="shared" si="2"/>
        <v>0</v>
      </c>
      <c r="H48" s="378">
        <f t="shared" si="1"/>
        <v>0</v>
      </c>
      <c r="I48" s="1570" t="s">
        <v>551</v>
      </c>
      <c r="J48" s="1571"/>
      <c r="K48" s="1571"/>
      <c r="L48" s="1571"/>
      <c r="M48" s="1571"/>
      <c r="N48" s="1571"/>
      <c r="O48" s="1571"/>
      <c r="P48" s="1571"/>
      <c r="Q48" s="1571"/>
      <c r="R48" s="1572"/>
      <c r="T48" s="40"/>
    </row>
    <row r="49" spans="1:20" s="52" customFormat="1" ht="24.75" customHeight="1">
      <c r="A49" s="299"/>
      <c r="B49" s="404"/>
      <c r="C49" s="309"/>
      <c r="D49" s="282" t="s">
        <v>552</v>
      </c>
      <c r="E49" s="377">
        <v>13970000</v>
      </c>
      <c r="F49" s="377">
        <v>14500000</v>
      </c>
      <c r="G49" s="279">
        <f t="shared" si="2"/>
        <v>530000</v>
      </c>
      <c r="H49" s="374">
        <f t="shared" si="1"/>
        <v>3.7938439513242663</v>
      </c>
      <c r="I49" s="1531" t="s">
        <v>553</v>
      </c>
      <c r="J49" s="1534"/>
      <c r="K49" s="1534"/>
      <c r="L49" s="1534"/>
      <c r="M49" s="1534"/>
      <c r="N49" s="1534"/>
      <c r="O49" s="1534"/>
      <c r="P49" s="1534"/>
      <c r="Q49" s="1534"/>
      <c r="R49" s="1535"/>
      <c r="T49" s="40"/>
    </row>
    <row r="50" spans="1:20" s="52" customFormat="1" ht="20.25" customHeight="1">
      <c r="A50" s="306"/>
      <c r="B50" s="282" t="s">
        <v>337</v>
      </c>
      <c r="C50" s="339" t="s">
        <v>312</v>
      </c>
      <c r="D50" s="339"/>
      <c r="E50" s="377">
        <v>10100000</v>
      </c>
      <c r="F50" s="377">
        <f>SUM(F51:F52)</f>
        <v>3525800</v>
      </c>
      <c r="G50" s="279">
        <f t="shared" si="2"/>
        <v>-6574200</v>
      </c>
      <c r="H50" s="378">
        <f t="shared" si="1"/>
        <v>-65.091089108910893</v>
      </c>
      <c r="I50" s="1541"/>
      <c r="J50" s="1542"/>
      <c r="K50" s="1542"/>
      <c r="L50" s="1542"/>
      <c r="M50" s="1542"/>
      <c r="N50" s="1542"/>
      <c r="O50" s="1542"/>
      <c r="P50" s="1542"/>
      <c r="Q50" s="1542"/>
      <c r="R50" s="1547"/>
      <c r="T50" s="40"/>
    </row>
    <row r="51" spans="1:20" s="52" customFormat="1" ht="25.5" customHeight="1">
      <c r="A51" s="306"/>
      <c r="B51" s="311"/>
      <c r="C51" s="379" t="s">
        <v>554</v>
      </c>
      <c r="D51" s="379" t="s">
        <v>555</v>
      </c>
      <c r="E51" s="401">
        <v>8000000</v>
      </c>
      <c r="F51" s="401">
        <f>792000+635000</f>
        <v>1427000</v>
      </c>
      <c r="G51" s="389">
        <f t="shared" si="2"/>
        <v>-6573000</v>
      </c>
      <c r="H51" s="378">
        <f t="shared" si="1"/>
        <v>-82.162500000000009</v>
      </c>
      <c r="I51" s="1573" t="s">
        <v>556</v>
      </c>
      <c r="J51" s="1574"/>
      <c r="K51" s="1574"/>
      <c r="L51" s="1574"/>
      <c r="M51" s="1574"/>
      <c r="N51" s="1574"/>
      <c r="O51" s="1574"/>
      <c r="P51" s="1574"/>
      <c r="Q51" s="1574"/>
      <c r="R51" s="1575"/>
      <c r="T51" s="40"/>
    </row>
    <row r="52" spans="1:20" s="52" customFormat="1" ht="22.5" customHeight="1">
      <c r="A52" s="306"/>
      <c r="B52" s="311"/>
      <c r="C52" s="339" t="s">
        <v>557</v>
      </c>
      <c r="D52" s="339" t="s">
        <v>312</v>
      </c>
      <c r="E52" s="377">
        <v>2100000</v>
      </c>
      <c r="F52" s="377">
        <f>SUM(F53:F55)</f>
        <v>2098800</v>
      </c>
      <c r="G52" s="279">
        <f t="shared" si="2"/>
        <v>-1200</v>
      </c>
      <c r="H52" s="378">
        <f t="shared" si="1"/>
        <v>-5.7142857142857148E-2</v>
      </c>
      <c r="I52" s="1531"/>
      <c r="J52" s="1534"/>
      <c r="K52" s="1534"/>
      <c r="L52" s="1534"/>
      <c r="M52" s="1534"/>
      <c r="N52" s="1534"/>
      <c r="O52" s="1534"/>
      <c r="P52" s="1534"/>
      <c r="Q52" s="1534"/>
      <c r="R52" s="1535"/>
      <c r="T52" s="40"/>
    </row>
    <row r="53" spans="1:20" s="52" customFormat="1" ht="22.5" customHeight="1">
      <c r="A53" s="306"/>
      <c r="B53" s="311"/>
      <c r="C53" s="379"/>
      <c r="D53" s="339" t="s">
        <v>557</v>
      </c>
      <c r="E53" s="377">
        <v>2100000</v>
      </c>
      <c r="F53" s="377">
        <v>2098800</v>
      </c>
      <c r="G53" s="279">
        <f t="shared" si="2"/>
        <v>-1200</v>
      </c>
      <c r="H53" s="378">
        <v>0</v>
      </c>
      <c r="I53" s="1566" t="s">
        <v>558</v>
      </c>
      <c r="J53" s="1567"/>
      <c r="K53" s="1567"/>
      <c r="L53" s="1567"/>
      <c r="M53" s="1567"/>
      <c r="N53" s="1567"/>
      <c r="O53" s="1567"/>
      <c r="P53" s="1567"/>
      <c r="Q53" s="1567"/>
      <c r="R53" s="1568"/>
      <c r="T53" s="40"/>
    </row>
    <row r="54" spans="1:20" s="52" customFormat="1" ht="22.5" hidden="1" customHeight="1">
      <c r="A54" s="306"/>
      <c r="B54" s="311"/>
      <c r="C54" s="382"/>
      <c r="D54" s="339"/>
      <c r="E54" s="377"/>
      <c r="F54" s="377"/>
      <c r="G54" s="279"/>
      <c r="H54" s="378">
        <v>0</v>
      </c>
      <c r="I54" s="1531"/>
      <c r="J54" s="1534"/>
      <c r="K54" s="1534"/>
      <c r="L54" s="1534"/>
      <c r="M54" s="1534"/>
      <c r="N54" s="1534"/>
      <c r="O54" s="1534"/>
      <c r="P54" s="1534"/>
      <c r="Q54" s="1534"/>
      <c r="R54" s="1535"/>
      <c r="T54" s="40"/>
    </row>
    <row r="55" spans="1:20" s="52" customFormat="1" ht="23.25" hidden="1" customHeight="1">
      <c r="A55" s="306"/>
      <c r="B55" s="309"/>
      <c r="C55" s="384"/>
      <c r="D55" s="339" t="s">
        <v>557</v>
      </c>
      <c r="E55" s="377"/>
      <c r="F55" s="377"/>
      <c r="G55" s="279">
        <f t="shared" si="2"/>
        <v>0</v>
      </c>
      <c r="H55" s="378">
        <v>0</v>
      </c>
      <c r="I55" s="1566"/>
      <c r="J55" s="1567"/>
      <c r="K55" s="1567"/>
      <c r="L55" s="1567"/>
      <c r="M55" s="1567"/>
      <c r="N55" s="1567"/>
      <c r="O55" s="1567"/>
      <c r="P55" s="1567"/>
      <c r="Q55" s="1567"/>
      <c r="R55" s="1568"/>
      <c r="T55" s="40"/>
    </row>
    <row r="56" spans="1:20" s="52" customFormat="1" ht="24" customHeight="1">
      <c r="A56" s="294" t="s">
        <v>360</v>
      </c>
      <c r="B56" s="1576" t="s">
        <v>309</v>
      </c>
      <c r="C56" s="1577"/>
      <c r="D56" s="339"/>
      <c r="E56" s="377">
        <v>542480</v>
      </c>
      <c r="F56" s="377">
        <f>F57</f>
        <v>570610</v>
      </c>
      <c r="G56" s="279">
        <f>F56-E56</f>
        <v>28130</v>
      </c>
      <c r="H56" s="378">
        <f t="shared" ref="H56:H61" si="5">G56/E56*100</f>
        <v>5.1854446246866237</v>
      </c>
      <c r="I56" s="1528"/>
      <c r="J56" s="1529"/>
      <c r="K56" s="1529"/>
      <c r="L56" s="1529"/>
      <c r="M56" s="1529"/>
      <c r="N56" s="1529"/>
      <c r="O56" s="1529"/>
      <c r="P56" s="1529"/>
      <c r="Q56" s="1529"/>
      <c r="R56" s="1530"/>
      <c r="T56" s="40"/>
    </row>
    <row r="57" spans="1:20" s="52" customFormat="1" ht="24" customHeight="1">
      <c r="A57" s="297"/>
      <c r="B57" s="282" t="s">
        <v>360</v>
      </c>
      <c r="C57" s="282" t="s">
        <v>312</v>
      </c>
      <c r="D57" s="282"/>
      <c r="E57" s="373">
        <v>542480</v>
      </c>
      <c r="F57" s="373">
        <f>F58</f>
        <v>570610</v>
      </c>
      <c r="G57" s="279">
        <f t="shared" ref="G57:G60" si="6">F57-E57</f>
        <v>28130</v>
      </c>
      <c r="H57" s="378">
        <f t="shared" si="5"/>
        <v>5.1854446246866237</v>
      </c>
      <c r="I57" s="1531"/>
      <c r="J57" s="1534"/>
      <c r="K57" s="1534"/>
      <c r="L57" s="1534"/>
      <c r="M57" s="1534"/>
      <c r="N57" s="1534"/>
      <c r="O57" s="1534"/>
      <c r="P57" s="1534"/>
      <c r="Q57" s="1534"/>
      <c r="R57" s="1535"/>
      <c r="T57" s="40"/>
    </row>
    <row r="58" spans="1:20" s="52" customFormat="1" ht="24" customHeight="1">
      <c r="A58" s="299"/>
      <c r="B58" s="282"/>
      <c r="C58" s="282" t="s">
        <v>360</v>
      </c>
      <c r="D58" s="282"/>
      <c r="E58" s="280">
        <v>542480</v>
      </c>
      <c r="F58" s="280">
        <v>570610</v>
      </c>
      <c r="G58" s="279">
        <f t="shared" si="6"/>
        <v>28130</v>
      </c>
      <c r="H58" s="378">
        <f t="shared" si="5"/>
        <v>5.1854446246866237</v>
      </c>
      <c r="I58" s="1531"/>
      <c r="J58" s="1536"/>
      <c r="K58" s="1536"/>
      <c r="L58" s="1536"/>
      <c r="M58" s="1536"/>
      <c r="N58" s="1536"/>
      <c r="O58" s="1536"/>
      <c r="P58" s="1536"/>
      <c r="Q58" s="1536"/>
      <c r="R58" s="1537"/>
      <c r="T58" s="40"/>
    </row>
    <row r="59" spans="1:20" s="52" customFormat="1" ht="24" customHeight="1">
      <c r="A59" s="294" t="s">
        <v>361</v>
      </c>
      <c r="B59" s="1576" t="s">
        <v>309</v>
      </c>
      <c r="C59" s="1577"/>
      <c r="D59" s="282"/>
      <c r="E59" s="373">
        <v>25205000</v>
      </c>
      <c r="F59" s="373">
        <f>F60</f>
        <v>5170000</v>
      </c>
      <c r="G59" s="279">
        <f t="shared" si="6"/>
        <v>-20035000</v>
      </c>
      <c r="H59" s="378">
        <f t="shared" si="5"/>
        <v>-79.488196786351921</v>
      </c>
      <c r="I59" s="1531"/>
      <c r="J59" s="1536"/>
      <c r="K59" s="1536"/>
      <c r="L59" s="1536"/>
      <c r="M59" s="1536"/>
      <c r="N59" s="1536"/>
      <c r="O59" s="1536"/>
      <c r="P59" s="1536"/>
      <c r="Q59" s="1536"/>
      <c r="R59" s="1537"/>
      <c r="T59" s="40"/>
    </row>
    <row r="60" spans="1:20" s="52" customFormat="1" ht="24" customHeight="1">
      <c r="A60" s="297"/>
      <c r="B60" s="329" t="s">
        <v>559</v>
      </c>
      <c r="C60" s="282" t="s">
        <v>312</v>
      </c>
      <c r="D60" s="282"/>
      <c r="E60" s="377">
        <v>25205000</v>
      </c>
      <c r="F60" s="377">
        <f>F61</f>
        <v>5170000</v>
      </c>
      <c r="G60" s="279">
        <f t="shared" si="6"/>
        <v>-20035000</v>
      </c>
      <c r="H60" s="378">
        <f t="shared" si="5"/>
        <v>-79.488196786351921</v>
      </c>
      <c r="I60" s="1531"/>
      <c r="J60" s="1536"/>
      <c r="K60" s="1536"/>
      <c r="L60" s="1536"/>
      <c r="M60" s="1536"/>
      <c r="N60" s="1536"/>
      <c r="O60" s="1536"/>
      <c r="P60" s="1536"/>
      <c r="Q60" s="1536"/>
      <c r="R60" s="1537"/>
      <c r="T60" s="40"/>
    </row>
    <row r="61" spans="1:20" s="52" customFormat="1" ht="24" customHeight="1">
      <c r="A61" s="317"/>
      <c r="B61" s="318"/>
      <c r="C61" s="319" t="s">
        <v>559</v>
      </c>
      <c r="D61" s="319"/>
      <c r="E61" s="397">
        <v>25205000</v>
      </c>
      <c r="F61" s="397">
        <f>[1]다.국도시세입!F34</f>
        <v>5170000</v>
      </c>
      <c r="G61" s="398">
        <f>F61-E61</f>
        <v>-20035000</v>
      </c>
      <c r="H61" s="405">
        <f t="shared" si="5"/>
        <v>-79.488196786351921</v>
      </c>
      <c r="I61" s="1538"/>
      <c r="J61" s="1539"/>
      <c r="K61" s="1539"/>
      <c r="L61" s="1539"/>
      <c r="M61" s="1539"/>
      <c r="N61" s="1539"/>
      <c r="O61" s="1539"/>
      <c r="P61" s="1539"/>
      <c r="Q61" s="1539"/>
      <c r="R61" s="1540"/>
      <c r="T61" s="40"/>
    </row>
    <row r="62" spans="1:20" s="52" customFormat="1" ht="16.5" customHeight="1">
      <c r="A62" s="406"/>
      <c r="B62" s="406"/>
      <c r="C62" s="407"/>
      <c r="D62" s="407"/>
      <c r="E62" s="408"/>
      <c r="F62" s="408"/>
      <c r="G62" s="409"/>
      <c r="H62" s="410"/>
      <c r="I62" s="411"/>
      <c r="J62" s="412"/>
      <c r="K62" s="412"/>
      <c r="L62" s="412"/>
      <c r="M62" s="412"/>
      <c r="N62" s="412"/>
      <c r="O62" s="412"/>
      <c r="P62" s="412"/>
      <c r="Q62" s="412"/>
      <c r="R62" s="412"/>
      <c r="T62" s="40"/>
    </row>
    <row r="63" spans="1:20" s="52" customFormat="1" ht="12" customHeight="1">
      <c r="E63" s="208"/>
      <c r="G63" s="413"/>
      <c r="J63" s="414"/>
      <c r="K63" s="414"/>
      <c r="L63" s="414"/>
      <c r="M63" s="414"/>
      <c r="N63" s="414"/>
      <c r="O63" s="414"/>
      <c r="P63" s="414"/>
      <c r="R63" s="414"/>
      <c r="T63" s="40"/>
    </row>
    <row r="64" spans="1:20" s="52" customFormat="1" ht="12" customHeight="1">
      <c r="E64" s="208"/>
      <c r="G64" s="413"/>
      <c r="J64" s="414"/>
      <c r="K64" s="414"/>
      <c r="L64" s="414"/>
      <c r="M64" s="414"/>
      <c r="N64" s="414"/>
      <c r="O64" s="414"/>
      <c r="P64" s="414"/>
      <c r="R64" s="414"/>
      <c r="T64" s="40"/>
    </row>
    <row r="65" spans="5:20" s="52" customFormat="1" ht="12" customHeight="1">
      <c r="E65" s="208"/>
      <c r="G65" s="413"/>
      <c r="J65" s="414"/>
      <c r="K65" s="414"/>
      <c r="L65" s="414"/>
      <c r="M65" s="414"/>
      <c r="N65" s="414"/>
      <c r="O65" s="414"/>
      <c r="P65" s="414"/>
      <c r="R65" s="414"/>
      <c r="T65" s="40"/>
    </row>
    <row r="66" spans="5:20" s="52" customFormat="1" ht="12" customHeight="1">
      <c r="E66" s="208"/>
      <c r="G66" s="413"/>
      <c r="J66" s="414"/>
      <c r="K66" s="414"/>
      <c r="L66" s="414"/>
      <c r="M66" s="414"/>
      <c r="N66" s="414"/>
      <c r="O66" s="414"/>
      <c r="P66" s="414"/>
      <c r="R66" s="414"/>
      <c r="T66" s="40"/>
    </row>
    <row r="67" spans="5:20" s="52" customFormat="1" ht="12" customHeight="1">
      <c r="E67" s="208"/>
      <c r="G67" s="413"/>
      <c r="J67" s="414"/>
      <c r="K67" s="414"/>
      <c r="L67" s="414"/>
      <c r="M67" s="414"/>
      <c r="N67" s="414"/>
      <c r="O67" s="414"/>
      <c r="P67" s="414"/>
      <c r="R67" s="414"/>
      <c r="T67" s="40"/>
    </row>
    <row r="68" spans="5:20" s="52" customFormat="1" ht="12" customHeight="1">
      <c r="E68" s="208"/>
      <c r="G68" s="413"/>
      <c r="J68" s="414"/>
      <c r="K68" s="414"/>
      <c r="L68" s="414"/>
      <c r="M68" s="414"/>
      <c r="N68" s="414"/>
      <c r="O68" s="414"/>
      <c r="P68" s="414"/>
      <c r="R68" s="414"/>
      <c r="T68" s="40"/>
    </row>
    <row r="69" spans="5:20" s="52" customFormat="1" ht="12" customHeight="1">
      <c r="E69" s="208"/>
      <c r="G69" s="413"/>
      <c r="J69" s="414"/>
      <c r="K69" s="414"/>
      <c r="L69" s="414"/>
      <c r="M69" s="414"/>
      <c r="N69" s="414"/>
      <c r="O69" s="414"/>
      <c r="P69" s="414"/>
      <c r="R69" s="414"/>
      <c r="T69" s="40"/>
    </row>
    <row r="70" spans="5:20" s="52" customFormat="1" ht="12" customHeight="1">
      <c r="E70" s="208"/>
      <c r="G70" s="415"/>
      <c r="J70" s="414"/>
      <c r="K70" s="414"/>
      <c r="L70" s="414"/>
      <c r="M70" s="414"/>
      <c r="N70" s="414"/>
      <c r="O70" s="414"/>
      <c r="P70" s="414"/>
      <c r="R70" s="414"/>
      <c r="T70" s="40"/>
    </row>
    <row r="71" spans="5:20" s="52" customFormat="1" ht="12" customHeight="1">
      <c r="E71" s="208"/>
      <c r="G71" s="415"/>
      <c r="J71" s="414"/>
      <c r="K71" s="414"/>
      <c r="L71" s="414"/>
      <c r="M71" s="414"/>
      <c r="N71" s="414"/>
      <c r="O71" s="414"/>
      <c r="P71" s="414"/>
      <c r="R71" s="414"/>
      <c r="T71" s="40"/>
    </row>
    <row r="72" spans="5:20" s="52" customFormat="1" ht="12" customHeight="1">
      <c r="E72" s="208"/>
      <c r="G72" s="415"/>
      <c r="J72" s="414"/>
      <c r="K72" s="414"/>
      <c r="L72" s="414"/>
      <c r="M72" s="414"/>
      <c r="N72" s="414"/>
      <c r="O72" s="414"/>
      <c r="P72" s="414"/>
      <c r="R72" s="414"/>
      <c r="T72" s="40"/>
    </row>
    <row r="73" spans="5:20" s="52" customFormat="1" ht="12" customHeight="1">
      <c r="E73" s="208"/>
      <c r="G73" s="415"/>
      <c r="J73" s="414"/>
      <c r="K73" s="414"/>
      <c r="L73" s="414"/>
      <c r="M73" s="414"/>
      <c r="N73" s="414"/>
      <c r="O73" s="414"/>
      <c r="P73" s="414"/>
      <c r="R73" s="414"/>
      <c r="T73" s="40"/>
    </row>
    <row r="74" spans="5:20" s="52" customFormat="1" ht="12" customHeight="1">
      <c r="E74" s="208"/>
      <c r="G74" s="415"/>
      <c r="J74" s="414"/>
      <c r="K74" s="414"/>
      <c r="L74" s="414"/>
      <c r="M74" s="414"/>
      <c r="N74" s="414"/>
      <c r="O74" s="414"/>
      <c r="P74" s="414"/>
      <c r="R74" s="414"/>
      <c r="T74" s="40"/>
    </row>
    <row r="75" spans="5:20" s="52" customFormat="1" ht="12" customHeight="1">
      <c r="E75" s="208"/>
      <c r="G75" s="415"/>
      <c r="J75" s="414"/>
      <c r="K75" s="414"/>
      <c r="L75" s="414"/>
      <c r="M75" s="414"/>
      <c r="N75" s="414"/>
      <c r="O75" s="414"/>
      <c r="P75" s="414"/>
      <c r="R75" s="414"/>
      <c r="T75" s="40"/>
    </row>
    <row r="76" spans="5:20" s="52" customFormat="1" ht="12" customHeight="1">
      <c r="E76" s="208"/>
      <c r="G76" s="415"/>
      <c r="J76" s="414"/>
      <c r="K76" s="414"/>
      <c r="L76" s="414"/>
      <c r="M76" s="414"/>
      <c r="N76" s="414"/>
      <c r="O76" s="414"/>
      <c r="P76" s="414"/>
      <c r="R76" s="414"/>
      <c r="T76" s="40"/>
    </row>
    <row r="77" spans="5:20" s="52" customFormat="1" ht="12" customHeight="1">
      <c r="E77" s="208"/>
      <c r="G77" s="415"/>
      <c r="J77" s="414"/>
      <c r="K77" s="414"/>
      <c r="L77" s="414"/>
      <c r="M77" s="414"/>
      <c r="N77" s="414"/>
      <c r="O77" s="414"/>
      <c r="P77" s="414"/>
      <c r="R77" s="414"/>
      <c r="T77" s="40"/>
    </row>
    <row r="78" spans="5:20" s="52" customFormat="1" ht="12" customHeight="1">
      <c r="E78" s="208"/>
      <c r="G78" s="415"/>
      <c r="J78" s="414"/>
      <c r="K78" s="414"/>
      <c r="L78" s="414"/>
      <c r="M78" s="414"/>
      <c r="N78" s="414"/>
      <c r="O78" s="414"/>
      <c r="P78" s="414"/>
      <c r="R78" s="414"/>
      <c r="T78" s="40"/>
    </row>
    <row r="79" spans="5:20" s="52" customFormat="1" ht="12" customHeight="1">
      <c r="E79" s="208"/>
      <c r="G79" s="415"/>
      <c r="J79" s="414"/>
      <c r="K79" s="414"/>
      <c r="L79" s="414"/>
      <c r="M79" s="414"/>
      <c r="N79" s="414"/>
      <c r="O79" s="414"/>
      <c r="P79" s="414"/>
      <c r="R79" s="414"/>
      <c r="T79" s="40"/>
    </row>
    <row r="80" spans="5:20" s="52" customFormat="1" ht="12" customHeight="1">
      <c r="E80" s="208"/>
      <c r="G80" s="415"/>
      <c r="J80" s="414"/>
      <c r="K80" s="414"/>
      <c r="L80" s="414"/>
      <c r="M80" s="414"/>
      <c r="N80" s="414"/>
      <c r="O80" s="414"/>
      <c r="P80" s="414"/>
      <c r="R80" s="414"/>
      <c r="T80" s="40"/>
    </row>
    <row r="81" spans="5:20" s="52" customFormat="1" ht="12" customHeight="1">
      <c r="E81" s="208"/>
      <c r="G81" s="415"/>
      <c r="J81" s="414"/>
      <c r="K81" s="414"/>
      <c r="L81" s="414"/>
      <c r="M81" s="414"/>
      <c r="N81" s="414"/>
      <c r="O81" s="414"/>
      <c r="P81" s="414"/>
      <c r="R81" s="414"/>
      <c r="T81" s="40"/>
    </row>
    <row r="82" spans="5:20" s="52" customFormat="1" ht="12" customHeight="1">
      <c r="E82" s="208"/>
      <c r="G82" s="415"/>
      <c r="J82" s="414"/>
      <c r="K82" s="414"/>
      <c r="L82" s="414"/>
      <c r="M82" s="414"/>
      <c r="N82" s="414"/>
      <c r="O82" s="414"/>
      <c r="P82" s="414"/>
      <c r="R82" s="414"/>
      <c r="T82" s="40"/>
    </row>
    <row r="83" spans="5:20" s="52" customFormat="1" ht="12" customHeight="1">
      <c r="E83" s="208"/>
      <c r="G83" s="415"/>
      <c r="J83" s="414"/>
      <c r="K83" s="414"/>
      <c r="L83" s="414"/>
      <c r="M83" s="414"/>
      <c r="N83" s="414"/>
      <c r="O83" s="414"/>
      <c r="P83" s="414"/>
      <c r="R83" s="414"/>
      <c r="T83" s="40"/>
    </row>
    <row r="84" spans="5:20" s="52" customFormat="1" ht="12" customHeight="1">
      <c r="E84" s="208"/>
      <c r="G84" s="415"/>
      <c r="J84" s="414"/>
      <c r="K84" s="414"/>
      <c r="L84" s="414"/>
      <c r="M84" s="414"/>
      <c r="N84" s="414"/>
      <c r="O84" s="414"/>
      <c r="P84" s="414"/>
      <c r="R84" s="414"/>
      <c r="T84" s="40"/>
    </row>
    <row r="85" spans="5:20" s="52" customFormat="1" ht="12" customHeight="1">
      <c r="E85" s="208"/>
      <c r="G85" s="415"/>
      <c r="J85" s="414"/>
      <c r="K85" s="414"/>
      <c r="L85" s="414"/>
      <c r="M85" s="414"/>
      <c r="N85" s="414"/>
      <c r="O85" s="414"/>
      <c r="P85" s="414"/>
      <c r="R85" s="414"/>
      <c r="T85" s="40"/>
    </row>
    <row r="86" spans="5:20" s="52" customFormat="1" ht="12" customHeight="1">
      <c r="E86" s="208"/>
      <c r="G86" s="415"/>
      <c r="J86" s="414"/>
      <c r="K86" s="414"/>
      <c r="L86" s="414"/>
      <c r="M86" s="414"/>
      <c r="N86" s="414"/>
      <c r="O86" s="414"/>
      <c r="P86" s="414"/>
      <c r="R86" s="414"/>
      <c r="T86" s="40"/>
    </row>
    <row r="87" spans="5:20" s="52" customFormat="1" ht="12" customHeight="1">
      <c r="E87" s="208"/>
      <c r="G87" s="415"/>
      <c r="J87" s="414"/>
      <c r="K87" s="414"/>
      <c r="L87" s="414"/>
      <c r="M87" s="414"/>
      <c r="N87" s="414"/>
      <c r="O87" s="414"/>
      <c r="P87" s="414"/>
      <c r="R87" s="414"/>
      <c r="T87" s="40"/>
    </row>
    <row r="88" spans="5:20" s="52" customFormat="1" ht="12" customHeight="1">
      <c r="E88" s="208"/>
      <c r="G88" s="415"/>
      <c r="J88" s="414"/>
      <c r="K88" s="414"/>
      <c r="L88" s="414"/>
      <c r="M88" s="414"/>
      <c r="N88" s="414"/>
      <c r="O88" s="414"/>
      <c r="P88" s="414"/>
      <c r="R88" s="414"/>
      <c r="T88" s="40"/>
    </row>
    <row r="89" spans="5:20" s="52" customFormat="1" ht="12" customHeight="1">
      <c r="E89" s="208"/>
      <c r="G89" s="415"/>
      <c r="J89" s="414"/>
      <c r="K89" s="414"/>
      <c r="L89" s="414"/>
      <c r="M89" s="414"/>
      <c r="N89" s="414"/>
      <c r="O89" s="414"/>
      <c r="P89" s="414"/>
      <c r="R89" s="414"/>
      <c r="T89" s="40"/>
    </row>
    <row r="90" spans="5:20" s="52" customFormat="1" ht="12" customHeight="1">
      <c r="E90" s="208"/>
      <c r="G90" s="415"/>
      <c r="J90" s="414"/>
      <c r="K90" s="414"/>
      <c r="L90" s="414"/>
      <c r="M90" s="414"/>
      <c r="N90" s="414"/>
      <c r="O90" s="414"/>
      <c r="P90" s="414"/>
      <c r="R90" s="414"/>
      <c r="T90" s="40"/>
    </row>
    <row r="91" spans="5:20" s="52" customFormat="1" ht="12" customHeight="1">
      <c r="E91" s="208"/>
      <c r="G91" s="415"/>
      <c r="J91" s="414"/>
      <c r="K91" s="414"/>
      <c r="L91" s="414"/>
      <c r="M91" s="414"/>
      <c r="N91" s="414"/>
      <c r="O91" s="414"/>
      <c r="P91" s="414"/>
      <c r="R91" s="414"/>
      <c r="T91" s="40"/>
    </row>
    <row r="92" spans="5:20" s="52" customFormat="1" ht="12" customHeight="1">
      <c r="E92" s="208"/>
      <c r="G92" s="415"/>
      <c r="J92" s="414"/>
      <c r="K92" s="414"/>
      <c r="L92" s="414"/>
      <c r="M92" s="414"/>
      <c r="N92" s="414"/>
      <c r="O92" s="414"/>
      <c r="P92" s="414"/>
      <c r="R92" s="414"/>
      <c r="T92" s="40"/>
    </row>
    <row r="93" spans="5:20" s="52" customFormat="1" ht="12" customHeight="1">
      <c r="E93" s="208"/>
      <c r="G93" s="415"/>
      <c r="J93" s="414"/>
      <c r="K93" s="414"/>
      <c r="L93" s="414"/>
      <c r="M93" s="414"/>
      <c r="N93" s="414"/>
      <c r="O93" s="414"/>
      <c r="P93" s="414"/>
      <c r="R93" s="414"/>
      <c r="T93" s="40"/>
    </row>
    <row r="94" spans="5:20" s="52" customFormat="1" ht="12" customHeight="1">
      <c r="E94" s="208"/>
      <c r="G94" s="415"/>
      <c r="J94" s="414"/>
      <c r="K94" s="414"/>
      <c r="L94" s="414"/>
      <c r="M94" s="414"/>
      <c r="N94" s="414"/>
      <c r="O94" s="414"/>
      <c r="P94" s="414"/>
      <c r="R94" s="414"/>
      <c r="T94" s="40"/>
    </row>
    <row r="95" spans="5:20" s="52" customFormat="1" ht="12" customHeight="1">
      <c r="E95" s="208"/>
      <c r="G95" s="415"/>
      <c r="J95" s="414"/>
      <c r="K95" s="414"/>
      <c r="L95" s="414"/>
      <c r="M95" s="414"/>
      <c r="N95" s="414"/>
      <c r="O95" s="414"/>
      <c r="P95" s="414"/>
      <c r="R95" s="414"/>
      <c r="T95" s="40"/>
    </row>
    <row r="96" spans="5:20" s="52" customFormat="1" ht="12" customHeight="1">
      <c r="E96" s="208"/>
      <c r="G96" s="415"/>
      <c r="J96" s="414"/>
      <c r="K96" s="414"/>
      <c r="L96" s="414"/>
      <c r="M96" s="414"/>
      <c r="N96" s="414"/>
      <c r="O96" s="414"/>
      <c r="P96" s="414"/>
      <c r="R96" s="414"/>
      <c r="T96" s="40"/>
    </row>
    <row r="97" spans="5:20" s="52" customFormat="1" ht="12" customHeight="1">
      <c r="E97" s="208"/>
      <c r="G97" s="415"/>
      <c r="J97" s="414"/>
      <c r="K97" s="414"/>
      <c r="L97" s="414"/>
      <c r="M97" s="414"/>
      <c r="N97" s="414"/>
      <c r="O97" s="414"/>
      <c r="P97" s="414"/>
      <c r="R97" s="414"/>
      <c r="T97" s="40"/>
    </row>
    <row r="98" spans="5:20" s="52" customFormat="1" ht="12" customHeight="1">
      <c r="E98" s="208"/>
      <c r="G98" s="415"/>
      <c r="J98" s="414"/>
      <c r="K98" s="414"/>
      <c r="L98" s="414"/>
      <c r="M98" s="414"/>
      <c r="N98" s="414"/>
      <c r="O98" s="414"/>
      <c r="P98" s="414"/>
      <c r="R98" s="414"/>
      <c r="T98" s="40"/>
    </row>
    <row r="99" spans="5:20" s="52" customFormat="1" ht="12" customHeight="1">
      <c r="E99" s="208"/>
      <c r="G99" s="415"/>
      <c r="J99" s="414"/>
      <c r="K99" s="414"/>
      <c r="L99" s="414"/>
      <c r="M99" s="414"/>
      <c r="N99" s="414"/>
      <c r="O99" s="414"/>
      <c r="P99" s="414"/>
      <c r="R99" s="414"/>
      <c r="T99" s="40"/>
    </row>
    <row r="100" spans="5:20" s="52" customFormat="1" ht="12" customHeight="1">
      <c r="E100" s="208"/>
      <c r="G100" s="415"/>
      <c r="J100" s="414"/>
      <c r="K100" s="414"/>
      <c r="L100" s="414"/>
      <c r="M100" s="414"/>
      <c r="N100" s="414"/>
      <c r="O100" s="414"/>
      <c r="P100" s="414"/>
      <c r="R100" s="414"/>
      <c r="T100" s="40"/>
    </row>
    <row r="101" spans="5:20" s="52" customFormat="1" ht="12" customHeight="1">
      <c r="E101" s="208"/>
      <c r="G101" s="415"/>
      <c r="J101" s="414"/>
      <c r="K101" s="414"/>
      <c r="L101" s="414"/>
      <c r="M101" s="414"/>
      <c r="N101" s="414"/>
      <c r="O101" s="414"/>
      <c r="P101" s="414"/>
      <c r="R101" s="414"/>
      <c r="T101" s="40"/>
    </row>
    <row r="102" spans="5:20" s="52" customFormat="1" ht="12" customHeight="1">
      <c r="E102" s="208"/>
      <c r="G102" s="415"/>
      <c r="J102" s="414"/>
      <c r="K102" s="414"/>
      <c r="L102" s="414"/>
      <c r="M102" s="414"/>
      <c r="N102" s="414"/>
      <c r="O102" s="414"/>
      <c r="P102" s="414"/>
      <c r="R102" s="414"/>
      <c r="T102" s="40"/>
    </row>
    <row r="103" spans="5:20" s="52" customFormat="1" ht="12" customHeight="1">
      <c r="E103" s="208"/>
      <c r="G103" s="415"/>
      <c r="J103" s="414"/>
      <c r="K103" s="414"/>
      <c r="L103" s="414"/>
      <c r="M103" s="414"/>
      <c r="N103" s="414"/>
      <c r="O103" s="414"/>
      <c r="P103" s="414"/>
      <c r="R103" s="414"/>
      <c r="T103" s="40"/>
    </row>
    <row r="104" spans="5:20" s="52" customFormat="1" ht="12" customHeight="1">
      <c r="E104" s="208"/>
      <c r="G104" s="415"/>
      <c r="J104" s="414"/>
      <c r="K104" s="414"/>
      <c r="L104" s="414"/>
      <c r="M104" s="414"/>
      <c r="N104" s="414"/>
      <c r="O104" s="414"/>
      <c r="P104" s="414"/>
      <c r="R104" s="414"/>
      <c r="T104" s="40"/>
    </row>
    <row r="105" spans="5:20" s="52" customFormat="1" ht="12" customHeight="1">
      <c r="E105" s="208"/>
      <c r="G105" s="415"/>
      <c r="J105" s="414"/>
      <c r="K105" s="414"/>
      <c r="L105" s="414"/>
      <c r="M105" s="414"/>
      <c r="N105" s="414"/>
      <c r="O105" s="414"/>
      <c r="P105" s="414"/>
      <c r="R105" s="414"/>
      <c r="T105" s="40"/>
    </row>
    <row r="106" spans="5:20" s="52" customFormat="1" ht="12" customHeight="1">
      <c r="E106" s="208"/>
      <c r="G106" s="415"/>
      <c r="J106" s="414"/>
      <c r="K106" s="414"/>
      <c r="L106" s="414"/>
      <c r="M106" s="414"/>
      <c r="N106" s="414"/>
      <c r="O106" s="414"/>
      <c r="P106" s="414"/>
      <c r="R106" s="414"/>
      <c r="T106" s="40"/>
    </row>
    <row r="107" spans="5:20" s="52" customFormat="1" ht="12" customHeight="1">
      <c r="E107" s="208"/>
      <c r="G107" s="415"/>
      <c r="J107" s="414"/>
      <c r="K107" s="414"/>
      <c r="L107" s="414"/>
      <c r="M107" s="414"/>
      <c r="N107" s="414"/>
      <c r="O107" s="414"/>
      <c r="P107" s="414"/>
      <c r="R107" s="414"/>
      <c r="T107" s="40"/>
    </row>
    <row r="108" spans="5:20" s="52" customFormat="1" ht="12" customHeight="1">
      <c r="E108" s="208"/>
      <c r="G108" s="415"/>
      <c r="J108" s="414"/>
      <c r="K108" s="414"/>
      <c r="L108" s="414"/>
      <c r="M108" s="414"/>
      <c r="N108" s="414"/>
      <c r="O108" s="414"/>
      <c r="P108" s="414"/>
      <c r="R108" s="414"/>
      <c r="T108" s="40"/>
    </row>
    <row r="109" spans="5:20" s="52" customFormat="1" ht="12" customHeight="1">
      <c r="E109" s="208"/>
      <c r="G109" s="415"/>
      <c r="J109" s="414"/>
      <c r="K109" s="414"/>
      <c r="L109" s="414"/>
      <c r="M109" s="414"/>
      <c r="N109" s="414"/>
      <c r="O109" s="414"/>
      <c r="P109" s="414"/>
      <c r="R109" s="414"/>
      <c r="T109" s="40"/>
    </row>
    <row r="110" spans="5:20" s="52" customFormat="1" ht="12" customHeight="1">
      <c r="E110" s="208"/>
      <c r="G110" s="415"/>
      <c r="J110" s="414"/>
      <c r="K110" s="414"/>
      <c r="L110" s="414"/>
      <c r="M110" s="414"/>
      <c r="N110" s="414"/>
      <c r="O110" s="414"/>
      <c r="P110" s="414"/>
      <c r="R110" s="414"/>
      <c r="T110" s="40"/>
    </row>
    <row r="111" spans="5:20" s="52" customFormat="1" ht="12" customHeight="1">
      <c r="E111" s="208"/>
      <c r="G111" s="415"/>
      <c r="J111" s="414"/>
      <c r="K111" s="414"/>
      <c r="L111" s="414"/>
      <c r="M111" s="414"/>
      <c r="N111" s="414"/>
      <c r="O111" s="414"/>
      <c r="P111" s="414"/>
      <c r="R111" s="414"/>
      <c r="T111" s="40"/>
    </row>
    <row r="112" spans="5:20" s="52" customFormat="1" ht="12" customHeight="1">
      <c r="E112" s="208"/>
      <c r="G112" s="415"/>
      <c r="J112" s="414"/>
      <c r="K112" s="414"/>
      <c r="L112" s="414"/>
      <c r="M112" s="414"/>
      <c r="N112" s="414"/>
      <c r="O112" s="414"/>
      <c r="P112" s="414"/>
      <c r="R112" s="414"/>
      <c r="T112" s="40"/>
    </row>
    <row r="113" spans="5:20" s="52" customFormat="1" ht="12" customHeight="1">
      <c r="E113" s="208"/>
      <c r="G113" s="415"/>
      <c r="J113" s="414"/>
      <c r="K113" s="414"/>
      <c r="L113" s="414"/>
      <c r="M113" s="414"/>
      <c r="N113" s="414"/>
      <c r="O113" s="414"/>
      <c r="P113" s="414"/>
      <c r="R113" s="414"/>
      <c r="T113" s="40"/>
    </row>
    <row r="114" spans="5:20" s="52" customFormat="1" ht="12" customHeight="1">
      <c r="E114" s="208"/>
      <c r="G114" s="415"/>
      <c r="J114" s="414"/>
      <c r="K114" s="414"/>
      <c r="L114" s="414"/>
      <c r="M114" s="414"/>
      <c r="N114" s="414"/>
      <c r="O114" s="414"/>
      <c r="P114" s="414"/>
      <c r="R114" s="414"/>
      <c r="T114" s="40"/>
    </row>
    <row r="115" spans="5:20" s="52" customFormat="1" ht="12" customHeight="1">
      <c r="E115" s="208"/>
      <c r="G115" s="415"/>
      <c r="J115" s="414"/>
      <c r="K115" s="414"/>
      <c r="L115" s="414"/>
      <c r="M115" s="414"/>
      <c r="N115" s="414"/>
      <c r="O115" s="414"/>
      <c r="P115" s="414"/>
      <c r="R115" s="414"/>
      <c r="T115" s="40"/>
    </row>
    <row r="116" spans="5:20" s="52" customFormat="1" ht="12" customHeight="1">
      <c r="E116" s="208"/>
      <c r="G116" s="415"/>
      <c r="J116" s="414"/>
      <c r="K116" s="414"/>
      <c r="L116" s="414"/>
      <c r="M116" s="414"/>
      <c r="N116" s="414"/>
      <c r="O116" s="414"/>
      <c r="P116" s="414"/>
      <c r="R116" s="414"/>
      <c r="T116" s="40"/>
    </row>
    <row r="117" spans="5:20" s="52" customFormat="1" ht="12" customHeight="1">
      <c r="E117" s="208"/>
      <c r="G117" s="415"/>
      <c r="J117" s="414"/>
      <c r="K117" s="414"/>
      <c r="L117" s="414"/>
      <c r="M117" s="414"/>
      <c r="N117" s="414"/>
      <c r="O117" s="414"/>
      <c r="P117" s="414"/>
      <c r="R117" s="414"/>
      <c r="T117" s="40"/>
    </row>
    <row r="118" spans="5:20" s="52" customFormat="1" ht="12" customHeight="1">
      <c r="E118" s="208"/>
      <c r="G118" s="415"/>
      <c r="J118" s="414"/>
      <c r="K118" s="414"/>
      <c r="L118" s="414"/>
      <c r="M118" s="414"/>
      <c r="N118" s="414"/>
      <c r="O118" s="414"/>
      <c r="P118" s="414"/>
      <c r="R118" s="414"/>
      <c r="T118" s="40"/>
    </row>
    <row r="119" spans="5:20" s="52" customFormat="1" ht="12" customHeight="1">
      <c r="E119" s="208"/>
      <c r="G119" s="415"/>
      <c r="J119" s="414"/>
      <c r="K119" s="414"/>
      <c r="L119" s="414"/>
      <c r="M119" s="414"/>
      <c r="N119" s="414"/>
      <c r="O119" s="414"/>
      <c r="P119" s="414"/>
      <c r="R119" s="414"/>
      <c r="T119" s="40"/>
    </row>
    <row r="120" spans="5:20" s="52" customFormat="1" ht="12" customHeight="1">
      <c r="E120" s="208"/>
      <c r="G120" s="415"/>
      <c r="J120" s="414"/>
      <c r="K120" s="414"/>
      <c r="L120" s="414"/>
      <c r="M120" s="414"/>
      <c r="N120" s="414"/>
      <c r="O120" s="414"/>
      <c r="P120" s="414"/>
      <c r="R120" s="414"/>
      <c r="T120" s="40"/>
    </row>
    <row r="121" spans="5:20" s="52" customFormat="1" ht="12" customHeight="1">
      <c r="E121" s="208"/>
      <c r="G121" s="415"/>
      <c r="J121" s="414"/>
      <c r="K121" s="414"/>
      <c r="L121" s="414"/>
      <c r="M121" s="414"/>
      <c r="N121" s="414"/>
      <c r="O121" s="414"/>
      <c r="P121" s="414"/>
      <c r="R121" s="414"/>
      <c r="T121" s="40"/>
    </row>
    <row r="122" spans="5:20" s="52" customFormat="1" ht="12" customHeight="1">
      <c r="E122" s="208"/>
      <c r="G122" s="415"/>
      <c r="J122" s="414"/>
      <c r="K122" s="414"/>
      <c r="L122" s="414"/>
      <c r="M122" s="414"/>
      <c r="N122" s="414"/>
      <c r="O122" s="414"/>
      <c r="P122" s="414"/>
      <c r="R122" s="414"/>
      <c r="T122" s="40"/>
    </row>
    <row r="123" spans="5:20" s="52" customFormat="1" ht="12" customHeight="1">
      <c r="E123" s="208"/>
      <c r="G123" s="415"/>
      <c r="J123" s="414"/>
      <c r="K123" s="414"/>
      <c r="L123" s="414"/>
      <c r="M123" s="414"/>
      <c r="N123" s="414"/>
      <c r="O123" s="414"/>
      <c r="P123" s="414"/>
      <c r="R123" s="414"/>
      <c r="T123" s="40"/>
    </row>
    <row r="124" spans="5:20" s="52" customFormat="1" ht="12" customHeight="1">
      <c r="E124" s="208"/>
      <c r="G124" s="415"/>
      <c r="J124" s="414"/>
      <c r="K124" s="414"/>
      <c r="L124" s="414"/>
      <c r="M124" s="414"/>
      <c r="N124" s="414"/>
      <c r="O124" s="414"/>
      <c r="P124" s="414"/>
      <c r="R124" s="414"/>
      <c r="T124" s="40"/>
    </row>
    <row r="125" spans="5:20" s="52" customFormat="1" ht="12" customHeight="1">
      <c r="E125" s="208"/>
      <c r="G125" s="415"/>
      <c r="J125" s="414"/>
      <c r="K125" s="414"/>
      <c r="L125" s="414"/>
      <c r="M125" s="414"/>
      <c r="N125" s="414"/>
      <c r="O125" s="414"/>
      <c r="P125" s="414"/>
      <c r="R125" s="414"/>
      <c r="T125" s="40"/>
    </row>
    <row r="126" spans="5:20" s="52" customFormat="1" ht="12" customHeight="1">
      <c r="E126" s="208"/>
      <c r="G126" s="415"/>
      <c r="J126" s="414"/>
      <c r="K126" s="414"/>
      <c r="L126" s="414"/>
      <c r="M126" s="414"/>
      <c r="N126" s="414"/>
      <c r="O126" s="414"/>
      <c r="P126" s="414"/>
      <c r="R126" s="414"/>
      <c r="T126" s="40"/>
    </row>
    <row r="127" spans="5:20" s="52" customFormat="1" ht="12" customHeight="1">
      <c r="E127" s="208"/>
      <c r="G127" s="415"/>
      <c r="J127" s="414"/>
      <c r="K127" s="414"/>
      <c r="L127" s="414"/>
      <c r="M127" s="414"/>
      <c r="N127" s="414"/>
      <c r="O127" s="414"/>
      <c r="P127" s="414"/>
      <c r="R127" s="414"/>
      <c r="T127" s="40"/>
    </row>
    <row r="128" spans="5:20" s="52" customFormat="1" ht="12" customHeight="1">
      <c r="E128" s="208"/>
      <c r="G128" s="415"/>
      <c r="J128" s="414"/>
      <c r="K128" s="414"/>
      <c r="L128" s="414"/>
      <c r="M128" s="414"/>
      <c r="N128" s="414"/>
      <c r="O128" s="414"/>
      <c r="P128" s="414"/>
      <c r="R128" s="414"/>
      <c r="T128" s="40"/>
    </row>
    <row r="129" spans="5:20" s="52" customFormat="1" ht="12" customHeight="1">
      <c r="E129" s="208"/>
      <c r="G129" s="415"/>
      <c r="J129" s="414"/>
      <c r="K129" s="414"/>
      <c r="L129" s="414"/>
      <c r="M129" s="414"/>
      <c r="N129" s="414"/>
      <c r="O129" s="414"/>
      <c r="P129" s="414"/>
      <c r="R129" s="414"/>
      <c r="T129" s="40"/>
    </row>
    <row r="130" spans="5:20" s="52" customFormat="1" ht="12" customHeight="1">
      <c r="E130" s="208"/>
      <c r="G130" s="415"/>
      <c r="J130" s="414"/>
      <c r="K130" s="414"/>
      <c r="L130" s="414"/>
      <c r="M130" s="414"/>
      <c r="N130" s="414"/>
      <c r="O130" s="414"/>
      <c r="P130" s="414"/>
      <c r="R130" s="414"/>
      <c r="T130" s="40"/>
    </row>
    <row r="131" spans="5:20" s="52" customFormat="1" ht="12" customHeight="1">
      <c r="E131" s="208"/>
      <c r="G131" s="415"/>
      <c r="J131" s="414"/>
      <c r="K131" s="414"/>
      <c r="L131" s="414"/>
      <c r="M131" s="414"/>
      <c r="N131" s="414"/>
      <c r="O131" s="414"/>
      <c r="P131" s="414"/>
      <c r="R131" s="414"/>
      <c r="T131" s="40"/>
    </row>
    <row r="132" spans="5:20" s="52" customFormat="1" ht="12" customHeight="1">
      <c r="E132" s="208"/>
      <c r="G132" s="415"/>
      <c r="J132" s="414"/>
      <c r="K132" s="414"/>
      <c r="L132" s="414"/>
      <c r="M132" s="414"/>
      <c r="N132" s="414"/>
      <c r="O132" s="414"/>
      <c r="P132" s="414"/>
      <c r="R132" s="414"/>
      <c r="T132" s="40"/>
    </row>
    <row r="133" spans="5:20" s="52" customFormat="1" ht="12" customHeight="1">
      <c r="E133" s="208"/>
      <c r="G133" s="415"/>
      <c r="J133" s="414"/>
      <c r="K133" s="414"/>
      <c r="L133" s="414"/>
      <c r="M133" s="414"/>
      <c r="N133" s="414"/>
      <c r="O133" s="414"/>
      <c r="P133" s="414"/>
      <c r="R133" s="414"/>
      <c r="T133" s="40"/>
    </row>
    <row r="134" spans="5:20" s="52" customFormat="1" ht="12" customHeight="1">
      <c r="E134" s="208"/>
      <c r="G134" s="415"/>
      <c r="J134" s="414"/>
      <c r="K134" s="414"/>
      <c r="L134" s="414"/>
      <c r="M134" s="414"/>
      <c r="N134" s="414"/>
      <c r="O134" s="414"/>
      <c r="P134" s="414"/>
      <c r="R134" s="414"/>
      <c r="T134" s="40"/>
    </row>
    <row r="135" spans="5:20" s="52" customFormat="1" ht="12" customHeight="1">
      <c r="E135" s="208"/>
      <c r="G135" s="415"/>
      <c r="J135" s="414"/>
      <c r="K135" s="414"/>
      <c r="L135" s="414"/>
      <c r="M135" s="414"/>
      <c r="N135" s="414"/>
      <c r="O135" s="414"/>
      <c r="P135" s="414"/>
      <c r="R135" s="414"/>
      <c r="T135" s="40"/>
    </row>
    <row r="136" spans="5:20" s="52" customFormat="1" ht="12" customHeight="1">
      <c r="E136" s="208"/>
      <c r="G136" s="415"/>
      <c r="J136" s="414"/>
      <c r="K136" s="414"/>
      <c r="L136" s="414"/>
      <c r="M136" s="414"/>
      <c r="N136" s="414"/>
      <c r="O136" s="414"/>
      <c r="P136" s="414"/>
      <c r="R136" s="414"/>
      <c r="T136" s="40"/>
    </row>
    <row r="137" spans="5:20" s="52" customFormat="1" ht="12" customHeight="1">
      <c r="E137" s="208"/>
      <c r="G137" s="415"/>
      <c r="J137" s="414"/>
      <c r="K137" s="414"/>
      <c r="L137" s="414"/>
      <c r="M137" s="414"/>
      <c r="N137" s="414"/>
      <c r="O137" s="414"/>
      <c r="P137" s="414"/>
      <c r="R137" s="414"/>
      <c r="T137" s="40"/>
    </row>
    <row r="138" spans="5:20" s="52" customFormat="1" ht="12" customHeight="1">
      <c r="E138" s="208"/>
      <c r="G138" s="415"/>
      <c r="J138" s="414"/>
      <c r="K138" s="414"/>
      <c r="L138" s="414"/>
      <c r="M138" s="414"/>
      <c r="N138" s="414"/>
      <c r="O138" s="414"/>
      <c r="P138" s="414"/>
      <c r="R138" s="414"/>
      <c r="T138" s="40"/>
    </row>
    <row r="139" spans="5:20" s="52" customFormat="1" ht="12" customHeight="1">
      <c r="E139" s="208"/>
      <c r="G139" s="415"/>
      <c r="J139" s="414"/>
      <c r="K139" s="414"/>
      <c r="L139" s="414"/>
      <c r="M139" s="414"/>
      <c r="N139" s="414"/>
      <c r="O139" s="414"/>
      <c r="P139" s="414"/>
      <c r="R139" s="414"/>
      <c r="T139" s="40"/>
    </row>
    <row r="140" spans="5:20" s="52" customFormat="1" ht="12" customHeight="1">
      <c r="E140" s="208"/>
      <c r="G140" s="415"/>
      <c r="J140" s="414"/>
      <c r="K140" s="414"/>
      <c r="L140" s="414"/>
      <c r="M140" s="414"/>
      <c r="N140" s="414"/>
      <c r="O140" s="414"/>
      <c r="P140" s="414"/>
      <c r="R140" s="414"/>
      <c r="T140" s="40"/>
    </row>
    <row r="141" spans="5:20" s="52" customFormat="1" ht="12" customHeight="1">
      <c r="E141" s="208"/>
      <c r="G141" s="415"/>
      <c r="J141" s="414"/>
      <c r="K141" s="414"/>
      <c r="L141" s="414"/>
      <c r="M141" s="414"/>
      <c r="N141" s="414"/>
      <c r="O141" s="414"/>
      <c r="P141" s="414"/>
      <c r="R141" s="414"/>
      <c r="T141" s="40"/>
    </row>
    <row r="142" spans="5:20" s="52" customFormat="1" ht="12" customHeight="1">
      <c r="E142" s="208"/>
      <c r="G142" s="415"/>
      <c r="J142" s="414"/>
      <c r="K142" s="414"/>
      <c r="L142" s="414"/>
      <c r="M142" s="414"/>
      <c r="N142" s="414"/>
      <c r="O142" s="414"/>
      <c r="P142" s="414"/>
      <c r="R142" s="414"/>
      <c r="T142" s="40"/>
    </row>
    <row r="143" spans="5:20" s="52" customFormat="1" ht="12" customHeight="1">
      <c r="E143" s="208"/>
      <c r="G143" s="415"/>
      <c r="J143" s="414"/>
      <c r="K143" s="414"/>
      <c r="L143" s="414"/>
      <c r="M143" s="414"/>
      <c r="N143" s="414"/>
      <c r="O143" s="414"/>
      <c r="P143" s="414"/>
      <c r="R143" s="414"/>
      <c r="T143" s="40"/>
    </row>
    <row r="144" spans="5:20" s="52" customFormat="1" ht="12" customHeight="1">
      <c r="E144" s="208"/>
      <c r="G144" s="415"/>
      <c r="J144" s="414"/>
      <c r="K144" s="414"/>
      <c r="L144" s="414"/>
      <c r="M144" s="414"/>
      <c r="N144" s="414"/>
      <c r="O144" s="414"/>
      <c r="P144" s="414"/>
      <c r="R144" s="414"/>
      <c r="T144" s="40"/>
    </row>
    <row r="145" spans="5:20" s="52" customFormat="1" ht="12" customHeight="1">
      <c r="E145" s="208"/>
      <c r="G145" s="415"/>
      <c r="J145" s="414"/>
      <c r="K145" s="414"/>
      <c r="L145" s="414"/>
      <c r="M145" s="414"/>
      <c r="N145" s="414"/>
      <c r="O145" s="414"/>
      <c r="P145" s="414"/>
      <c r="R145" s="414"/>
      <c r="T145" s="40"/>
    </row>
    <row r="146" spans="5:20" s="52" customFormat="1" ht="12" customHeight="1">
      <c r="E146" s="208"/>
      <c r="G146" s="415"/>
      <c r="J146" s="414"/>
      <c r="K146" s="414"/>
      <c r="L146" s="414"/>
      <c r="M146" s="414"/>
      <c r="N146" s="414"/>
      <c r="O146" s="414"/>
      <c r="P146" s="414"/>
      <c r="R146" s="414"/>
      <c r="T146" s="40"/>
    </row>
    <row r="147" spans="5:20" s="52" customFormat="1" ht="12" customHeight="1">
      <c r="E147" s="208"/>
      <c r="G147" s="415"/>
      <c r="J147" s="414"/>
      <c r="K147" s="414"/>
      <c r="L147" s="414"/>
      <c r="M147" s="414"/>
      <c r="N147" s="414"/>
      <c r="O147" s="414"/>
      <c r="P147" s="414"/>
      <c r="R147" s="414"/>
      <c r="T147" s="40"/>
    </row>
    <row r="148" spans="5:20" s="52" customFormat="1" ht="12" customHeight="1">
      <c r="E148" s="208"/>
      <c r="G148" s="415"/>
      <c r="J148" s="414"/>
      <c r="K148" s="414"/>
      <c r="L148" s="414"/>
      <c r="M148" s="414"/>
      <c r="N148" s="414"/>
      <c r="O148" s="414"/>
      <c r="P148" s="414"/>
      <c r="R148" s="414"/>
      <c r="T148" s="40"/>
    </row>
    <row r="149" spans="5:20" s="52" customFormat="1" ht="12" customHeight="1">
      <c r="E149" s="208"/>
      <c r="G149" s="415"/>
      <c r="J149" s="414"/>
      <c r="K149" s="414"/>
      <c r="L149" s="414"/>
      <c r="M149" s="414"/>
      <c r="N149" s="414"/>
      <c r="O149" s="414"/>
      <c r="P149" s="414"/>
      <c r="R149" s="414"/>
      <c r="T149" s="40"/>
    </row>
    <row r="150" spans="5:20" s="52" customFormat="1" ht="12" customHeight="1">
      <c r="E150" s="208"/>
      <c r="G150" s="415"/>
      <c r="J150" s="414"/>
      <c r="K150" s="414"/>
      <c r="L150" s="414"/>
      <c r="M150" s="414"/>
      <c r="N150" s="414"/>
      <c r="O150" s="414"/>
      <c r="P150" s="414"/>
      <c r="R150" s="414"/>
      <c r="T150" s="40"/>
    </row>
    <row r="151" spans="5:20" s="52" customFormat="1" ht="12" customHeight="1">
      <c r="E151" s="208"/>
      <c r="G151" s="415"/>
      <c r="J151" s="414"/>
      <c r="K151" s="414"/>
      <c r="L151" s="414"/>
      <c r="M151" s="414"/>
      <c r="N151" s="414"/>
      <c r="O151" s="414"/>
      <c r="P151" s="414"/>
      <c r="R151" s="414"/>
      <c r="T151" s="40"/>
    </row>
    <row r="152" spans="5:20" s="52" customFormat="1" ht="12" customHeight="1">
      <c r="E152" s="208"/>
      <c r="G152" s="415"/>
      <c r="J152" s="414"/>
      <c r="K152" s="414"/>
      <c r="L152" s="414"/>
      <c r="M152" s="414"/>
      <c r="N152" s="414"/>
      <c r="O152" s="414"/>
      <c r="P152" s="414"/>
      <c r="R152" s="414"/>
      <c r="T152" s="40"/>
    </row>
    <row r="153" spans="5:20" s="52" customFormat="1" ht="12" customHeight="1">
      <c r="E153" s="208"/>
      <c r="G153" s="415"/>
      <c r="J153" s="414"/>
      <c r="K153" s="414"/>
      <c r="L153" s="414"/>
      <c r="M153" s="414"/>
      <c r="N153" s="414"/>
      <c r="O153" s="414"/>
      <c r="P153" s="414"/>
      <c r="R153" s="414"/>
      <c r="T153" s="40"/>
    </row>
    <row r="154" spans="5:20" s="52" customFormat="1" ht="10.5">
      <c r="E154" s="208"/>
      <c r="G154" s="415"/>
      <c r="J154" s="414"/>
      <c r="K154" s="414"/>
      <c r="L154" s="414"/>
      <c r="M154" s="414"/>
      <c r="N154" s="414"/>
      <c r="O154" s="414"/>
      <c r="P154" s="414"/>
      <c r="R154" s="414"/>
      <c r="T154" s="40"/>
    </row>
    <row r="155" spans="5:20" s="52" customFormat="1" ht="10.5">
      <c r="E155" s="208"/>
      <c r="G155" s="415"/>
      <c r="J155" s="414"/>
      <c r="K155" s="414"/>
      <c r="L155" s="414"/>
      <c r="M155" s="414"/>
      <c r="N155" s="414"/>
      <c r="O155" s="414"/>
      <c r="P155" s="414"/>
      <c r="R155" s="414"/>
      <c r="T155" s="40"/>
    </row>
    <row r="156" spans="5:20" s="52" customFormat="1" ht="10.5">
      <c r="E156" s="208"/>
      <c r="G156" s="415"/>
      <c r="J156" s="414"/>
      <c r="K156" s="414"/>
      <c r="L156" s="414"/>
      <c r="M156" s="414"/>
      <c r="N156" s="414"/>
      <c r="O156" s="414"/>
      <c r="P156" s="414"/>
      <c r="R156" s="414"/>
      <c r="T156" s="40"/>
    </row>
    <row r="157" spans="5:20" s="52" customFormat="1" ht="10.5">
      <c r="E157" s="208"/>
      <c r="G157" s="415"/>
      <c r="J157" s="414"/>
      <c r="K157" s="414"/>
      <c r="L157" s="414"/>
      <c r="M157" s="414"/>
      <c r="N157" s="414"/>
      <c r="O157" s="414"/>
      <c r="P157" s="414"/>
      <c r="R157" s="414"/>
      <c r="T157" s="40"/>
    </row>
    <row r="158" spans="5:20" s="52" customFormat="1" ht="10.5">
      <c r="E158" s="208"/>
      <c r="G158" s="415"/>
      <c r="J158" s="414"/>
      <c r="K158" s="414"/>
      <c r="L158" s="414"/>
      <c r="M158" s="414"/>
      <c r="N158" s="414"/>
      <c r="O158" s="414"/>
      <c r="P158" s="414"/>
      <c r="R158" s="414"/>
      <c r="T158" s="40"/>
    </row>
    <row r="159" spans="5:20" s="52" customFormat="1" ht="10.5">
      <c r="E159" s="208"/>
      <c r="G159" s="415"/>
      <c r="J159" s="414"/>
      <c r="K159" s="414"/>
      <c r="L159" s="414"/>
      <c r="M159" s="414"/>
      <c r="N159" s="414"/>
      <c r="O159" s="414"/>
      <c r="P159" s="414"/>
      <c r="R159" s="414"/>
      <c r="T159" s="40"/>
    </row>
    <row r="160" spans="5:20" s="52" customFormat="1" ht="10.5">
      <c r="E160" s="208"/>
      <c r="G160" s="415"/>
      <c r="J160" s="414"/>
      <c r="K160" s="414"/>
      <c r="L160" s="414"/>
      <c r="M160" s="414"/>
      <c r="N160" s="414"/>
      <c r="O160" s="414"/>
      <c r="P160" s="414"/>
      <c r="R160" s="414"/>
      <c r="T160" s="40"/>
    </row>
    <row r="161" spans="5:20" s="52" customFormat="1" ht="10.5">
      <c r="E161" s="208"/>
      <c r="G161" s="415"/>
      <c r="J161" s="414"/>
      <c r="K161" s="414"/>
      <c r="L161" s="414"/>
      <c r="M161" s="414"/>
      <c r="N161" s="414"/>
      <c r="O161" s="414"/>
      <c r="P161" s="414"/>
      <c r="R161" s="414"/>
      <c r="T161" s="40"/>
    </row>
    <row r="162" spans="5:20" s="52" customFormat="1" ht="10.5">
      <c r="E162" s="208"/>
      <c r="G162" s="415"/>
      <c r="J162" s="414"/>
      <c r="K162" s="414"/>
      <c r="L162" s="414"/>
      <c r="M162" s="414"/>
      <c r="N162" s="414"/>
      <c r="O162" s="414"/>
      <c r="P162" s="414"/>
      <c r="R162" s="414"/>
      <c r="T162" s="40"/>
    </row>
    <row r="163" spans="5:20" s="52" customFormat="1" ht="10.5">
      <c r="E163" s="208"/>
      <c r="G163" s="415"/>
      <c r="J163" s="414"/>
      <c r="K163" s="414"/>
      <c r="L163" s="414"/>
      <c r="M163" s="414"/>
      <c r="N163" s="414"/>
      <c r="O163" s="414"/>
      <c r="P163" s="414"/>
      <c r="R163" s="414"/>
      <c r="T163" s="40"/>
    </row>
    <row r="164" spans="5:20" s="52" customFormat="1" ht="10.5">
      <c r="E164" s="208"/>
      <c r="G164" s="415"/>
      <c r="J164" s="414"/>
      <c r="K164" s="414"/>
      <c r="L164" s="414"/>
      <c r="M164" s="414"/>
      <c r="N164" s="414"/>
      <c r="O164" s="414"/>
      <c r="P164" s="414"/>
      <c r="R164" s="414"/>
      <c r="T164" s="40"/>
    </row>
    <row r="165" spans="5:20" s="52" customFormat="1" ht="10.5">
      <c r="E165" s="208"/>
      <c r="G165" s="415"/>
      <c r="J165" s="414"/>
      <c r="K165" s="414"/>
      <c r="L165" s="414"/>
      <c r="M165" s="414"/>
      <c r="N165" s="414"/>
      <c r="O165" s="414"/>
      <c r="P165" s="414"/>
      <c r="R165" s="414"/>
      <c r="T165" s="40"/>
    </row>
    <row r="166" spans="5:20" s="52" customFormat="1" ht="10.5">
      <c r="E166" s="208"/>
      <c r="G166" s="415"/>
      <c r="J166" s="414"/>
      <c r="K166" s="414"/>
      <c r="L166" s="414"/>
      <c r="M166" s="414"/>
      <c r="N166" s="414"/>
      <c r="O166" s="414"/>
      <c r="P166" s="414"/>
      <c r="R166" s="414"/>
      <c r="T166" s="40"/>
    </row>
    <row r="167" spans="5:20" s="52" customFormat="1" ht="10.5">
      <c r="E167" s="208"/>
      <c r="G167" s="415"/>
      <c r="J167" s="414"/>
      <c r="K167" s="414"/>
      <c r="L167" s="414"/>
      <c r="M167" s="414"/>
      <c r="N167" s="414"/>
      <c r="O167" s="414"/>
      <c r="P167" s="414"/>
      <c r="R167" s="414"/>
      <c r="T167" s="40"/>
    </row>
    <row r="168" spans="5:20" s="52" customFormat="1" ht="10.5">
      <c r="E168" s="208"/>
      <c r="G168" s="415"/>
      <c r="J168" s="414"/>
      <c r="K168" s="414"/>
      <c r="L168" s="414"/>
      <c r="M168" s="414"/>
      <c r="N168" s="414"/>
      <c r="O168" s="414"/>
      <c r="P168" s="414"/>
      <c r="R168" s="414"/>
      <c r="T168" s="40"/>
    </row>
    <row r="169" spans="5:20" s="52" customFormat="1" ht="10.5">
      <c r="E169" s="208"/>
      <c r="G169" s="415"/>
      <c r="J169" s="414"/>
      <c r="K169" s="414"/>
      <c r="L169" s="414"/>
      <c r="M169" s="414"/>
      <c r="N169" s="414"/>
      <c r="O169" s="414"/>
      <c r="P169" s="414"/>
      <c r="R169" s="414"/>
      <c r="T169" s="40"/>
    </row>
    <row r="170" spans="5:20" s="52" customFormat="1" ht="10.5">
      <c r="E170" s="208"/>
      <c r="G170" s="415"/>
      <c r="J170" s="414"/>
      <c r="K170" s="414"/>
      <c r="L170" s="414"/>
      <c r="M170" s="414"/>
      <c r="N170" s="414"/>
      <c r="O170" s="414"/>
      <c r="P170" s="414"/>
      <c r="R170" s="414"/>
      <c r="T170" s="40"/>
    </row>
    <row r="171" spans="5:20" s="52" customFormat="1" ht="10.5">
      <c r="E171" s="208"/>
      <c r="G171" s="415"/>
      <c r="J171" s="414"/>
      <c r="K171" s="414"/>
      <c r="L171" s="414"/>
      <c r="M171" s="414"/>
      <c r="N171" s="414"/>
      <c r="O171" s="414"/>
      <c r="P171" s="414"/>
      <c r="R171" s="414"/>
      <c r="T171" s="40"/>
    </row>
    <row r="172" spans="5:20" s="52" customFormat="1" ht="10.5">
      <c r="E172" s="208"/>
      <c r="G172" s="415"/>
      <c r="J172" s="414"/>
      <c r="K172" s="414"/>
      <c r="L172" s="414"/>
      <c r="M172" s="414"/>
      <c r="N172" s="414"/>
      <c r="O172" s="414"/>
      <c r="P172" s="414"/>
      <c r="R172" s="414"/>
      <c r="T172" s="40"/>
    </row>
    <row r="173" spans="5:20" s="52" customFormat="1" ht="10.5">
      <c r="E173" s="208"/>
      <c r="G173" s="415"/>
      <c r="J173" s="414"/>
      <c r="K173" s="414"/>
      <c r="L173" s="414"/>
      <c r="M173" s="414"/>
      <c r="N173" s="414"/>
      <c r="O173" s="414"/>
      <c r="P173" s="414"/>
      <c r="R173" s="414"/>
      <c r="T173" s="40"/>
    </row>
    <row r="174" spans="5:20" s="52" customFormat="1" ht="10.5">
      <c r="E174" s="208"/>
      <c r="G174" s="415"/>
      <c r="J174" s="414"/>
      <c r="K174" s="414"/>
      <c r="L174" s="414"/>
      <c r="M174" s="414"/>
      <c r="N174" s="414"/>
      <c r="O174" s="414"/>
      <c r="P174" s="414"/>
      <c r="R174" s="414"/>
      <c r="T174" s="40"/>
    </row>
    <row r="175" spans="5:20" s="52" customFormat="1" ht="10.5">
      <c r="E175" s="208"/>
      <c r="G175" s="415"/>
      <c r="J175" s="414"/>
      <c r="K175" s="414"/>
      <c r="L175" s="414"/>
      <c r="M175" s="414"/>
      <c r="N175" s="414"/>
      <c r="O175" s="414"/>
      <c r="P175" s="414"/>
      <c r="R175" s="414"/>
      <c r="T175" s="40"/>
    </row>
    <row r="176" spans="5:20" s="52" customFormat="1" ht="10.5">
      <c r="E176" s="208"/>
      <c r="G176" s="415"/>
      <c r="J176" s="414"/>
      <c r="K176" s="414"/>
      <c r="L176" s="414"/>
      <c r="M176" s="414"/>
      <c r="N176" s="414"/>
      <c r="O176" s="414"/>
      <c r="P176" s="414"/>
      <c r="R176" s="414"/>
      <c r="T176" s="40"/>
    </row>
    <row r="177" spans="5:20" s="52" customFormat="1" ht="10.5">
      <c r="E177" s="208"/>
      <c r="G177" s="415"/>
      <c r="J177" s="414"/>
      <c r="K177" s="414"/>
      <c r="L177" s="414"/>
      <c r="M177" s="414"/>
      <c r="N177" s="414"/>
      <c r="O177" s="414"/>
      <c r="P177" s="414"/>
      <c r="R177" s="414"/>
      <c r="T177" s="40"/>
    </row>
    <row r="178" spans="5:20" s="52" customFormat="1" ht="10.5">
      <c r="E178" s="208"/>
      <c r="G178" s="415"/>
      <c r="J178" s="414"/>
      <c r="K178" s="414"/>
      <c r="L178" s="414"/>
      <c r="M178" s="414"/>
      <c r="N178" s="414"/>
      <c r="O178" s="414"/>
      <c r="P178" s="414"/>
      <c r="R178" s="414"/>
      <c r="T178" s="40"/>
    </row>
    <row r="179" spans="5:20" s="52" customFormat="1" ht="10.5">
      <c r="E179" s="208"/>
      <c r="G179" s="415"/>
      <c r="J179" s="414"/>
      <c r="K179" s="414"/>
      <c r="L179" s="414"/>
      <c r="M179" s="414"/>
      <c r="N179" s="414"/>
      <c r="O179" s="414"/>
      <c r="P179" s="414"/>
      <c r="R179" s="414"/>
      <c r="T179" s="40"/>
    </row>
    <row r="180" spans="5:20" s="52" customFormat="1" ht="10.5">
      <c r="E180" s="208"/>
      <c r="G180" s="415"/>
      <c r="J180" s="414"/>
      <c r="K180" s="414"/>
      <c r="L180" s="414"/>
      <c r="M180" s="414"/>
      <c r="N180" s="414"/>
      <c r="O180" s="414"/>
      <c r="P180" s="414"/>
      <c r="R180" s="414"/>
      <c r="T180" s="40"/>
    </row>
    <row r="181" spans="5:20" s="52" customFormat="1" ht="10.5">
      <c r="E181" s="208"/>
      <c r="G181" s="415"/>
      <c r="J181" s="414"/>
      <c r="K181" s="414"/>
      <c r="L181" s="414"/>
      <c r="M181" s="414"/>
      <c r="N181" s="414"/>
      <c r="O181" s="414"/>
      <c r="P181" s="414"/>
      <c r="R181" s="414"/>
      <c r="T181" s="40"/>
    </row>
    <row r="182" spans="5:20" s="52" customFormat="1" ht="10.5">
      <c r="E182" s="208"/>
      <c r="G182" s="415"/>
      <c r="J182" s="414"/>
      <c r="K182" s="414"/>
      <c r="L182" s="414"/>
      <c r="M182" s="414"/>
      <c r="N182" s="414"/>
      <c r="O182" s="414"/>
      <c r="P182" s="414"/>
      <c r="R182" s="414"/>
      <c r="T182" s="40"/>
    </row>
    <row r="183" spans="5:20" s="52" customFormat="1" ht="10.5">
      <c r="E183" s="208"/>
      <c r="G183" s="415"/>
      <c r="J183" s="414"/>
      <c r="K183" s="414"/>
      <c r="L183" s="414"/>
      <c r="M183" s="414"/>
      <c r="N183" s="414"/>
      <c r="O183" s="414"/>
      <c r="P183" s="414"/>
      <c r="R183" s="414"/>
      <c r="T183" s="40"/>
    </row>
    <row r="184" spans="5:20" s="52" customFormat="1" ht="10.5">
      <c r="E184" s="208"/>
      <c r="G184" s="415"/>
      <c r="J184" s="414"/>
      <c r="K184" s="414"/>
      <c r="L184" s="414"/>
      <c r="M184" s="414"/>
      <c r="N184" s="414"/>
      <c r="O184" s="414"/>
      <c r="P184" s="414"/>
      <c r="R184" s="414"/>
      <c r="T184" s="40"/>
    </row>
    <row r="185" spans="5:20" s="52" customFormat="1" ht="10.5">
      <c r="E185" s="208"/>
      <c r="G185" s="415"/>
      <c r="J185" s="414"/>
      <c r="K185" s="414"/>
      <c r="L185" s="414"/>
      <c r="M185" s="414"/>
      <c r="N185" s="414"/>
      <c r="O185" s="414"/>
      <c r="P185" s="414"/>
      <c r="R185" s="414"/>
      <c r="T185" s="40"/>
    </row>
    <row r="186" spans="5:20" s="52" customFormat="1" ht="10.5">
      <c r="E186" s="208"/>
      <c r="G186" s="415"/>
      <c r="J186" s="414"/>
      <c r="K186" s="414"/>
      <c r="L186" s="414"/>
      <c r="M186" s="414"/>
      <c r="N186" s="414"/>
      <c r="O186" s="414"/>
      <c r="P186" s="414"/>
      <c r="R186" s="414"/>
      <c r="T186" s="40"/>
    </row>
    <row r="187" spans="5:20" s="52" customFormat="1" ht="10.5">
      <c r="E187" s="208"/>
      <c r="G187" s="415"/>
      <c r="J187" s="414"/>
      <c r="K187" s="414"/>
      <c r="L187" s="414"/>
      <c r="M187" s="414"/>
      <c r="N187" s="414"/>
      <c r="O187" s="414"/>
      <c r="P187" s="414"/>
      <c r="R187" s="414"/>
      <c r="T187" s="40"/>
    </row>
    <row r="188" spans="5:20" s="52" customFormat="1" ht="10.5">
      <c r="E188" s="208"/>
      <c r="G188" s="415"/>
      <c r="J188" s="414"/>
      <c r="K188" s="414"/>
      <c r="L188" s="414"/>
      <c r="M188" s="414"/>
      <c r="N188" s="414"/>
      <c r="O188" s="414"/>
      <c r="P188" s="414"/>
      <c r="R188" s="414"/>
      <c r="T188" s="40"/>
    </row>
    <row r="189" spans="5:20" s="52" customFormat="1" ht="10.5">
      <c r="E189" s="208"/>
      <c r="G189" s="415"/>
      <c r="J189" s="414"/>
      <c r="K189" s="414"/>
      <c r="L189" s="414"/>
      <c r="M189" s="414"/>
      <c r="N189" s="414"/>
      <c r="O189" s="414"/>
      <c r="P189" s="414"/>
      <c r="R189" s="414"/>
      <c r="T189" s="40"/>
    </row>
    <row r="190" spans="5:20" s="52" customFormat="1" ht="10.5">
      <c r="E190" s="208"/>
      <c r="G190" s="415"/>
      <c r="J190" s="414"/>
      <c r="K190" s="414"/>
      <c r="L190" s="414"/>
      <c r="M190" s="414"/>
      <c r="N190" s="414"/>
      <c r="O190" s="414"/>
      <c r="P190" s="414"/>
      <c r="R190" s="414"/>
      <c r="T190" s="40"/>
    </row>
    <row r="191" spans="5:20" s="52" customFormat="1" ht="10.5">
      <c r="E191" s="208"/>
      <c r="G191" s="415"/>
      <c r="J191" s="414"/>
      <c r="K191" s="414"/>
      <c r="L191" s="414"/>
      <c r="M191" s="414"/>
      <c r="N191" s="414"/>
      <c r="O191" s="414"/>
      <c r="P191" s="414"/>
      <c r="R191" s="414"/>
      <c r="T191" s="40"/>
    </row>
    <row r="192" spans="5:20" s="52" customFormat="1" ht="10.5">
      <c r="E192" s="208"/>
      <c r="G192" s="415"/>
      <c r="J192" s="414"/>
      <c r="K192" s="414"/>
      <c r="L192" s="414"/>
      <c r="M192" s="414"/>
      <c r="N192" s="414"/>
      <c r="O192" s="414"/>
      <c r="P192" s="414"/>
      <c r="R192" s="414"/>
      <c r="T192" s="40"/>
    </row>
    <row r="193" spans="5:20" s="52" customFormat="1" ht="10.5">
      <c r="E193" s="208"/>
      <c r="G193" s="415"/>
      <c r="J193" s="414"/>
      <c r="K193" s="414"/>
      <c r="L193" s="414"/>
      <c r="M193" s="414"/>
      <c r="N193" s="414"/>
      <c r="O193" s="414"/>
      <c r="P193" s="414"/>
      <c r="R193" s="414"/>
      <c r="T193" s="40"/>
    </row>
    <row r="194" spans="5:20" s="52" customFormat="1" ht="10.5">
      <c r="E194" s="208"/>
      <c r="G194" s="415"/>
      <c r="J194" s="414"/>
      <c r="K194" s="414"/>
      <c r="L194" s="414"/>
      <c r="M194" s="414"/>
      <c r="N194" s="414"/>
      <c r="O194" s="414"/>
      <c r="P194" s="414"/>
      <c r="R194" s="414"/>
      <c r="T194" s="40"/>
    </row>
    <row r="195" spans="5:20" s="52" customFormat="1" ht="10.5">
      <c r="E195" s="208"/>
      <c r="G195" s="415"/>
      <c r="J195" s="414"/>
      <c r="K195" s="414"/>
      <c r="L195" s="414"/>
      <c r="M195" s="414"/>
      <c r="N195" s="414"/>
      <c r="O195" s="414"/>
      <c r="P195" s="414"/>
      <c r="R195" s="414"/>
      <c r="T195" s="40"/>
    </row>
    <row r="196" spans="5:20" s="52" customFormat="1" ht="10.5">
      <c r="E196" s="208"/>
      <c r="G196" s="415"/>
      <c r="J196" s="414"/>
      <c r="K196" s="414"/>
      <c r="L196" s="414"/>
      <c r="M196" s="414"/>
      <c r="N196" s="414"/>
      <c r="O196" s="414"/>
      <c r="P196" s="414"/>
      <c r="R196" s="414"/>
      <c r="T196" s="40"/>
    </row>
    <row r="197" spans="5:20" s="52" customFormat="1" ht="10.5">
      <c r="E197" s="208"/>
      <c r="G197" s="415"/>
      <c r="J197" s="414"/>
      <c r="K197" s="414"/>
      <c r="L197" s="414"/>
      <c r="M197" s="414"/>
      <c r="N197" s="414"/>
      <c r="O197" s="414"/>
      <c r="P197" s="414"/>
      <c r="R197" s="414"/>
      <c r="T197" s="40"/>
    </row>
    <row r="198" spans="5:20" s="52" customFormat="1" ht="10.5">
      <c r="E198" s="208"/>
      <c r="G198" s="415"/>
      <c r="J198" s="414"/>
      <c r="K198" s="414"/>
      <c r="L198" s="414"/>
      <c r="M198" s="414"/>
      <c r="N198" s="414"/>
      <c r="O198" s="414"/>
      <c r="P198" s="414"/>
      <c r="R198" s="414"/>
      <c r="T198" s="40"/>
    </row>
    <row r="199" spans="5:20" s="52" customFormat="1" ht="10.5">
      <c r="E199" s="208"/>
      <c r="G199" s="415"/>
      <c r="J199" s="414"/>
      <c r="K199" s="414"/>
      <c r="L199" s="414"/>
      <c r="M199" s="414"/>
      <c r="N199" s="414"/>
      <c r="O199" s="414"/>
      <c r="P199" s="414"/>
      <c r="R199" s="414"/>
      <c r="T199" s="40"/>
    </row>
    <row r="200" spans="5:20" s="52" customFormat="1" ht="10.5">
      <c r="E200" s="208"/>
      <c r="G200" s="415"/>
      <c r="J200" s="414"/>
      <c r="K200" s="414"/>
      <c r="L200" s="414"/>
      <c r="M200" s="414"/>
      <c r="N200" s="414"/>
      <c r="O200" s="414"/>
      <c r="P200" s="414"/>
      <c r="R200" s="414"/>
      <c r="T200" s="40"/>
    </row>
    <row r="201" spans="5:20" s="52" customFormat="1" ht="10.5">
      <c r="E201" s="208"/>
      <c r="G201" s="415"/>
      <c r="J201" s="414"/>
      <c r="K201" s="414"/>
      <c r="L201" s="414"/>
      <c r="M201" s="414"/>
      <c r="N201" s="414"/>
      <c r="O201" s="414"/>
      <c r="P201" s="414"/>
      <c r="R201" s="414"/>
      <c r="T201" s="40"/>
    </row>
    <row r="202" spans="5:20" s="52" customFormat="1" ht="10.5">
      <c r="E202" s="208"/>
      <c r="G202" s="415"/>
      <c r="J202" s="414"/>
      <c r="K202" s="414"/>
      <c r="L202" s="414"/>
      <c r="M202" s="414"/>
      <c r="N202" s="414"/>
      <c r="O202" s="414"/>
      <c r="P202" s="414"/>
      <c r="R202" s="414"/>
      <c r="T202" s="40"/>
    </row>
    <row r="203" spans="5:20" s="52" customFormat="1" ht="10.5">
      <c r="E203" s="208"/>
      <c r="G203" s="415"/>
      <c r="J203" s="414"/>
      <c r="K203" s="414"/>
      <c r="L203" s="414"/>
      <c r="M203" s="414"/>
      <c r="N203" s="414"/>
      <c r="O203" s="414"/>
      <c r="P203" s="414"/>
      <c r="R203" s="414"/>
      <c r="T203" s="40"/>
    </row>
    <row r="204" spans="5:20" s="52" customFormat="1" ht="10.5">
      <c r="E204" s="208"/>
      <c r="G204" s="415"/>
      <c r="J204" s="414"/>
      <c r="K204" s="414"/>
      <c r="L204" s="414"/>
      <c r="M204" s="414"/>
      <c r="N204" s="414"/>
      <c r="O204" s="414"/>
      <c r="P204" s="414"/>
      <c r="R204" s="414"/>
      <c r="T204" s="40"/>
    </row>
    <row r="205" spans="5:20" s="52" customFormat="1" ht="10.5">
      <c r="E205" s="208"/>
      <c r="G205" s="415"/>
      <c r="J205" s="414"/>
      <c r="K205" s="414"/>
      <c r="L205" s="414"/>
      <c r="M205" s="414"/>
      <c r="N205" s="414"/>
      <c r="O205" s="414"/>
      <c r="P205" s="414"/>
      <c r="R205" s="414"/>
      <c r="T205" s="40"/>
    </row>
    <row r="206" spans="5:20" s="52" customFormat="1" ht="10.5">
      <c r="E206" s="208"/>
      <c r="G206" s="415"/>
      <c r="J206" s="414"/>
      <c r="K206" s="414"/>
      <c r="L206" s="414"/>
      <c r="M206" s="414"/>
      <c r="N206" s="414"/>
      <c r="O206" s="414"/>
      <c r="P206" s="414"/>
      <c r="R206" s="414"/>
      <c r="T206" s="40"/>
    </row>
    <row r="207" spans="5:20" s="52" customFormat="1" ht="10.5">
      <c r="E207" s="208"/>
      <c r="G207" s="415"/>
      <c r="J207" s="414"/>
      <c r="K207" s="414"/>
      <c r="L207" s="414"/>
      <c r="M207" s="414"/>
      <c r="N207" s="414"/>
      <c r="O207" s="414"/>
      <c r="P207" s="414"/>
      <c r="R207" s="414"/>
      <c r="T207" s="40"/>
    </row>
    <row r="208" spans="5:20" s="52" customFormat="1" ht="10.5">
      <c r="E208" s="208"/>
      <c r="G208" s="415"/>
      <c r="J208" s="414"/>
      <c r="K208" s="414"/>
      <c r="L208" s="414"/>
      <c r="M208" s="414"/>
      <c r="N208" s="414"/>
      <c r="O208" s="414"/>
      <c r="P208" s="414"/>
      <c r="R208" s="414"/>
      <c r="T208" s="40"/>
    </row>
    <row r="209" spans="5:20" s="52" customFormat="1" ht="10.5">
      <c r="E209" s="208"/>
      <c r="G209" s="415"/>
      <c r="J209" s="414"/>
      <c r="K209" s="414"/>
      <c r="L209" s="414"/>
      <c r="M209" s="414"/>
      <c r="N209" s="414"/>
      <c r="O209" s="414"/>
      <c r="P209" s="414"/>
      <c r="R209" s="414"/>
      <c r="T209" s="40"/>
    </row>
    <row r="210" spans="5:20" s="52" customFormat="1" ht="10.5">
      <c r="E210" s="208"/>
      <c r="G210" s="415"/>
      <c r="J210" s="414"/>
      <c r="K210" s="414"/>
      <c r="L210" s="414"/>
      <c r="M210" s="414"/>
      <c r="N210" s="414"/>
      <c r="O210" s="414"/>
      <c r="P210" s="414"/>
      <c r="R210" s="414"/>
      <c r="T210" s="40"/>
    </row>
    <row r="211" spans="5:20" s="52" customFormat="1" ht="10.5">
      <c r="E211" s="208"/>
      <c r="G211" s="415"/>
      <c r="J211" s="414"/>
      <c r="K211" s="414"/>
      <c r="L211" s="414"/>
      <c r="M211" s="414"/>
      <c r="N211" s="414"/>
      <c r="O211" s="414"/>
      <c r="P211" s="414"/>
      <c r="R211" s="414"/>
      <c r="T211" s="40"/>
    </row>
    <row r="212" spans="5:20" s="52" customFormat="1" ht="10.5">
      <c r="E212" s="208"/>
      <c r="G212" s="415"/>
      <c r="J212" s="414"/>
      <c r="K212" s="414"/>
      <c r="L212" s="414"/>
      <c r="M212" s="414"/>
      <c r="N212" s="414"/>
      <c r="O212" s="414"/>
      <c r="P212" s="414"/>
      <c r="R212" s="414"/>
      <c r="T212" s="40"/>
    </row>
    <row r="213" spans="5:20" s="52" customFormat="1" ht="10.5">
      <c r="E213" s="208"/>
      <c r="G213" s="415"/>
      <c r="J213" s="414"/>
      <c r="K213" s="414"/>
      <c r="L213" s="414"/>
      <c r="M213" s="414"/>
      <c r="N213" s="414"/>
      <c r="O213" s="414"/>
      <c r="P213" s="414"/>
      <c r="R213" s="414"/>
      <c r="T213" s="40"/>
    </row>
    <row r="214" spans="5:20" s="52" customFormat="1" ht="10.5">
      <c r="E214" s="208"/>
      <c r="G214" s="415"/>
      <c r="J214" s="414"/>
      <c r="K214" s="414"/>
      <c r="L214" s="414"/>
      <c r="M214" s="414"/>
      <c r="N214" s="414"/>
      <c r="O214" s="414"/>
      <c r="P214" s="414"/>
      <c r="R214" s="414"/>
      <c r="T214" s="40"/>
    </row>
    <row r="215" spans="5:20" s="52" customFormat="1" ht="10.5">
      <c r="E215" s="208"/>
      <c r="G215" s="415"/>
      <c r="J215" s="414"/>
      <c r="K215" s="414"/>
      <c r="L215" s="414"/>
      <c r="M215" s="414"/>
      <c r="N215" s="414"/>
      <c r="O215" s="414"/>
      <c r="P215" s="414"/>
      <c r="R215" s="414"/>
      <c r="T215" s="40"/>
    </row>
    <row r="216" spans="5:20" s="52" customFormat="1" ht="10.5">
      <c r="E216" s="208"/>
      <c r="G216" s="415"/>
      <c r="J216" s="414"/>
      <c r="K216" s="414"/>
      <c r="L216" s="414"/>
      <c r="M216" s="414"/>
      <c r="N216" s="414"/>
      <c r="O216" s="414"/>
      <c r="P216" s="414"/>
      <c r="R216" s="414"/>
      <c r="T216" s="40"/>
    </row>
    <row r="217" spans="5:20" s="52" customFormat="1" ht="10.5">
      <c r="E217" s="208"/>
      <c r="G217" s="415"/>
      <c r="J217" s="414"/>
      <c r="K217" s="414"/>
      <c r="L217" s="414"/>
      <c r="M217" s="414"/>
      <c r="N217" s="414"/>
      <c r="O217" s="414"/>
      <c r="P217" s="414"/>
      <c r="R217" s="414"/>
      <c r="T217" s="40"/>
    </row>
    <row r="218" spans="5:20" s="52" customFormat="1" ht="10.5">
      <c r="E218" s="208"/>
      <c r="G218" s="415"/>
      <c r="J218" s="414"/>
      <c r="K218" s="414"/>
      <c r="L218" s="414"/>
      <c r="M218" s="414"/>
      <c r="N218" s="414"/>
      <c r="O218" s="414"/>
      <c r="P218" s="414"/>
      <c r="R218" s="414"/>
      <c r="T218" s="40"/>
    </row>
    <row r="219" spans="5:20" s="52" customFormat="1" ht="10.5">
      <c r="E219" s="208"/>
      <c r="G219" s="415"/>
      <c r="J219" s="414"/>
      <c r="K219" s="414"/>
      <c r="L219" s="414"/>
      <c r="M219" s="414"/>
      <c r="N219" s="414"/>
      <c r="O219" s="414"/>
      <c r="P219" s="414"/>
      <c r="R219" s="414"/>
      <c r="T219" s="40"/>
    </row>
    <row r="220" spans="5:20" s="52" customFormat="1" ht="10.5">
      <c r="E220" s="208"/>
      <c r="G220" s="415"/>
      <c r="J220" s="414"/>
      <c r="K220" s="414"/>
      <c r="L220" s="414"/>
      <c r="M220" s="414"/>
      <c r="N220" s="414"/>
      <c r="O220" s="414"/>
      <c r="P220" s="414"/>
      <c r="R220" s="414"/>
      <c r="T220" s="40"/>
    </row>
    <row r="221" spans="5:20" s="52" customFormat="1" ht="10.5">
      <c r="E221" s="208"/>
      <c r="G221" s="415"/>
      <c r="J221" s="414"/>
      <c r="K221" s="414"/>
      <c r="L221" s="414"/>
      <c r="M221" s="414"/>
      <c r="N221" s="414"/>
      <c r="O221" s="414"/>
      <c r="P221" s="414"/>
      <c r="R221" s="414"/>
      <c r="T221" s="40"/>
    </row>
    <row r="222" spans="5:20" s="52" customFormat="1" ht="10.5">
      <c r="E222" s="208"/>
      <c r="G222" s="415"/>
      <c r="J222" s="414"/>
      <c r="K222" s="414"/>
      <c r="L222" s="414"/>
      <c r="M222" s="414"/>
      <c r="N222" s="414"/>
      <c r="O222" s="414"/>
      <c r="P222" s="414"/>
      <c r="R222" s="414"/>
      <c r="T222" s="40"/>
    </row>
    <row r="223" spans="5:20" s="52" customFormat="1" ht="10.5">
      <c r="E223" s="208"/>
      <c r="G223" s="415"/>
      <c r="J223" s="414"/>
      <c r="K223" s="414"/>
      <c r="L223" s="414"/>
      <c r="M223" s="414"/>
      <c r="N223" s="414"/>
      <c r="O223" s="414"/>
      <c r="P223" s="414"/>
      <c r="R223" s="414"/>
      <c r="T223" s="40"/>
    </row>
    <row r="224" spans="5:20" s="52" customFormat="1" ht="10.5">
      <c r="E224" s="208"/>
      <c r="G224" s="415"/>
      <c r="J224" s="414"/>
      <c r="K224" s="414"/>
      <c r="L224" s="414"/>
      <c r="M224" s="414"/>
      <c r="N224" s="414"/>
      <c r="O224" s="414"/>
      <c r="P224" s="414"/>
      <c r="R224" s="414"/>
      <c r="T224" s="40"/>
    </row>
    <row r="225" spans="5:20" s="52" customFormat="1" ht="10.5">
      <c r="E225" s="208"/>
      <c r="G225" s="415"/>
      <c r="J225" s="414"/>
      <c r="K225" s="414"/>
      <c r="L225" s="414"/>
      <c r="M225" s="414"/>
      <c r="N225" s="414"/>
      <c r="O225" s="414"/>
      <c r="P225" s="414"/>
      <c r="R225" s="414"/>
      <c r="T225" s="40"/>
    </row>
    <row r="226" spans="5:20" s="52" customFormat="1" ht="10.5">
      <c r="E226" s="208"/>
      <c r="G226" s="415"/>
      <c r="J226" s="414"/>
      <c r="K226" s="414"/>
      <c r="L226" s="414"/>
      <c r="M226" s="414"/>
      <c r="N226" s="414"/>
      <c r="O226" s="414"/>
      <c r="P226" s="414"/>
      <c r="R226" s="414"/>
      <c r="T226" s="40"/>
    </row>
    <row r="227" spans="5:20" s="52" customFormat="1" ht="10.5">
      <c r="E227" s="208"/>
      <c r="G227" s="415"/>
      <c r="J227" s="414"/>
      <c r="K227" s="414"/>
      <c r="L227" s="414"/>
      <c r="M227" s="414"/>
      <c r="N227" s="414"/>
      <c r="O227" s="414"/>
      <c r="P227" s="414"/>
      <c r="R227" s="414"/>
      <c r="T227" s="40"/>
    </row>
    <row r="228" spans="5:20" s="52" customFormat="1" ht="10.5">
      <c r="E228" s="208"/>
      <c r="G228" s="415"/>
      <c r="J228" s="414"/>
      <c r="K228" s="414"/>
      <c r="L228" s="414"/>
      <c r="M228" s="414"/>
      <c r="N228" s="414"/>
      <c r="O228" s="414"/>
      <c r="P228" s="414"/>
      <c r="R228" s="414"/>
      <c r="T228" s="40"/>
    </row>
    <row r="229" spans="5:20" s="52" customFormat="1" ht="10.5">
      <c r="E229" s="208"/>
      <c r="G229" s="415"/>
      <c r="J229" s="414"/>
      <c r="K229" s="414"/>
      <c r="L229" s="414"/>
      <c r="M229" s="414"/>
      <c r="N229" s="414"/>
      <c r="O229" s="414"/>
      <c r="P229" s="414"/>
      <c r="R229" s="414"/>
      <c r="T229" s="40"/>
    </row>
    <row r="230" spans="5:20" s="52" customFormat="1" ht="10.5">
      <c r="E230" s="208"/>
      <c r="G230" s="415"/>
      <c r="J230" s="414"/>
      <c r="K230" s="414"/>
      <c r="L230" s="414"/>
      <c r="M230" s="414"/>
      <c r="N230" s="414"/>
      <c r="O230" s="414"/>
      <c r="P230" s="414"/>
      <c r="R230" s="414"/>
      <c r="T230" s="40"/>
    </row>
    <row r="231" spans="5:20" s="52" customFormat="1" ht="10.5">
      <c r="E231" s="208"/>
      <c r="G231" s="415"/>
      <c r="J231" s="414"/>
      <c r="K231" s="414"/>
      <c r="L231" s="414"/>
      <c r="M231" s="414"/>
      <c r="N231" s="414"/>
      <c r="O231" s="414"/>
      <c r="P231" s="414"/>
      <c r="R231" s="414"/>
      <c r="T231" s="40"/>
    </row>
    <row r="232" spans="5:20" s="52" customFormat="1" ht="10.5">
      <c r="E232" s="208"/>
      <c r="G232" s="415"/>
      <c r="J232" s="414"/>
      <c r="K232" s="414"/>
      <c r="L232" s="414"/>
      <c r="M232" s="414"/>
      <c r="N232" s="414"/>
      <c r="O232" s="414"/>
      <c r="P232" s="414"/>
      <c r="R232" s="414"/>
      <c r="T232" s="40"/>
    </row>
  </sheetData>
  <mergeCells count="66">
    <mergeCell ref="B59:C59"/>
    <mergeCell ref="I59:R59"/>
    <mergeCell ref="I60:R60"/>
    <mergeCell ref="I61:R61"/>
    <mergeCell ref="I54:R54"/>
    <mergeCell ref="I55:R55"/>
    <mergeCell ref="B56:C56"/>
    <mergeCell ref="I56:R56"/>
    <mergeCell ref="I57:R57"/>
    <mergeCell ref="I58:R58"/>
    <mergeCell ref="I53:R53"/>
    <mergeCell ref="I42:R42"/>
    <mergeCell ref="I43:R43"/>
    <mergeCell ref="I44:R44"/>
    <mergeCell ref="I45:R45"/>
    <mergeCell ref="I46:R46"/>
    <mergeCell ref="I47:R47"/>
    <mergeCell ref="I48:R48"/>
    <mergeCell ref="I49:R49"/>
    <mergeCell ref="I50:R50"/>
    <mergeCell ref="I51:R51"/>
    <mergeCell ref="I52:R52"/>
    <mergeCell ref="I37:R37"/>
    <mergeCell ref="I38:R38"/>
    <mergeCell ref="I39:R39"/>
    <mergeCell ref="I40:R40"/>
    <mergeCell ref="B41:C41"/>
    <mergeCell ref="I41:R41"/>
    <mergeCell ref="B36:C36"/>
    <mergeCell ref="I36:R36"/>
    <mergeCell ref="I25:R25"/>
    <mergeCell ref="I26:R26"/>
    <mergeCell ref="I27:R27"/>
    <mergeCell ref="I28:R28"/>
    <mergeCell ref="I29:R29"/>
    <mergeCell ref="I30:R30"/>
    <mergeCell ref="I31:R31"/>
    <mergeCell ref="I32:R32"/>
    <mergeCell ref="I33:R33"/>
    <mergeCell ref="I34:R34"/>
    <mergeCell ref="I35:R35"/>
    <mergeCell ref="I21:R21"/>
    <mergeCell ref="I10:Q10"/>
    <mergeCell ref="I11:Q11"/>
    <mergeCell ref="I12:Q12"/>
    <mergeCell ref="I13:R13"/>
    <mergeCell ref="I14:Q14"/>
    <mergeCell ref="I15:R15"/>
    <mergeCell ref="I16:R16"/>
    <mergeCell ref="I17:R17"/>
    <mergeCell ref="I18:R18"/>
    <mergeCell ref="I19:R19"/>
    <mergeCell ref="O20:Q20"/>
    <mergeCell ref="I9:Q9"/>
    <mergeCell ref="A2:D2"/>
    <mergeCell ref="Q3:R3"/>
    <mergeCell ref="A4:D4"/>
    <mergeCell ref="E4:E5"/>
    <mergeCell ref="F4:F5"/>
    <mergeCell ref="G4:H4"/>
    <mergeCell ref="I4:R5"/>
    <mergeCell ref="A6:C6"/>
    <mergeCell ref="I6:R6"/>
    <mergeCell ref="B7:C7"/>
    <mergeCell ref="I7:P7"/>
    <mergeCell ref="I8:R8"/>
  </mergeCells>
  <phoneticPr fontId="7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23"/>
  <sheetViews>
    <sheetView workbookViewId="0">
      <selection activeCell="W30" sqref="W30"/>
    </sheetView>
  </sheetViews>
  <sheetFormatPr defaultRowHeight="13.5"/>
  <cols>
    <col min="1" max="1" width="7.5" style="52" customWidth="1"/>
    <col min="2" max="2" width="8" style="52" customWidth="1"/>
    <col min="3" max="3" width="10.25" style="52" customWidth="1"/>
    <col min="4" max="4" width="10.375" style="52" customWidth="1"/>
    <col min="5" max="5" width="11.25" style="52" customWidth="1"/>
    <col min="6" max="6" width="11.25" style="124" customWidth="1"/>
    <col min="7" max="7" width="11.625" style="415" customWidth="1"/>
    <col min="8" max="8" width="5.125" style="415" customWidth="1"/>
    <col min="9" max="12" width="4.125" style="52" customWidth="1"/>
    <col min="13" max="13" width="2" style="52" customWidth="1"/>
    <col min="14" max="14" width="6.25" style="52" bestFit="1" customWidth="1"/>
    <col min="15" max="15" width="2.125" style="52" customWidth="1"/>
    <col min="16" max="16" width="1.75" style="52" customWidth="1"/>
    <col min="17" max="17" width="5.25" style="52" customWidth="1"/>
    <col min="18" max="18" width="1.5" style="52" customWidth="1"/>
    <col min="19" max="19" width="11.5" style="530" customWidth="1"/>
    <col min="20" max="20" width="11" style="469" customWidth="1"/>
    <col min="21" max="22" width="10.25" style="469" customWidth="1"/>
    <col min="23" max="23" width="16.125" style="505" customWidth="1"/>
    <col min="24" max="24" width="14.875" style="123" customWidth="1"/>
    <col min="25" max="25" width="10" style="123" customWidth="1"/>
    <col min="26" max="26" width="16.875" style="123" customWidth="1"/>
    <col min="27" max="27" width="10" style="123" customWidth="1"/>
    <col min="28" max="28" width="13.125" style="123" customWidth="1"/>
    <col min="29" max="29" width="10" style="123" customWidth="1"/>
    <col min="30" max="30" width="17.25" style="123" customWidth="1"/>
    <col min="31" max="34" width="10" style="123" customWidth="1"/>
    <col min="35" max="16384" width="9" style="123"/>
  </cols>
  <sheetData>
    <row r="1" spans="1:30" s="55" customFormat="1" ht="23.25" customHeight="1">
      <c r="A1" s="326" t="s">
        <v>506</v>
      </c>
      <c r="B1" s="326"/>
      <c r="C1" s="326"/>
      <c r="D1" s="53"/>
      <c r="E1" s="53"/>
      <c r="F1" s="51"/>
      <c r="G1" s="430"/>
      <c r="H1" s="430"/>
      <c r="I1" s="1580"/>
      <c r="J1" s="1580"/>
      <c r="K1" s="1580"/>
      <c r="L1" s="1580"/>
      <c r="M1" s="1580"/>
      <c r="N1" s="1580"/>
      <c r="O1" s="1580"/>
      <c r="P1" s="1580"/>
      <c r="Q1" s="1580"/>
      <c r="R1" s="1580"/>
      <c r="S1" s="431"/>
      <c r="T1" s="432" t="s">
        <v>586</v>
      </c>
      <c r="U1" s="432">
        <f>SUM(U2:U6)</f>
        <v>234516878</v>
      </c>
      <c r="V1" s="432">
        <f>SUM(V2:V6)</f>
        <v>22433122</v>
      </c>
      <c r="W1" s="432">
        <f>SUM(U1:V1)</f>
        <v>256950000</v>
      </c>
      <c r="X1" s="433"/>
    </row>
    <row r="2" spans="1:30" s="55" customFormat="1" ht="22.5" customHeight="1">
      <c r="A2" s="1581" t="s">
        <v>587</v>
      </c>
      <c r="B2" s="1581"/>
      <c r="C2" s="1582"/>
      <c r="D2" s="123"/>
      <c r="E2" s="53"/>
      <c r="F2" s="51"/>
      <c r="G2" s="430"/>
      <c r="H2" s="430"/>
      <c r="I2" s="1580"/>
      <c r="J2" s="1580"/>
      <c r="K2" s="1580"/>
      <c r="L2" s="1580"/>
      <c r="M2" s="1580"/>
      <c r="N2" s="1580"/>
      <c r="O2" s="1580"/>
      <c r="P2" s="1580"/>
      <c r="Q2" s="1580"/>
      <c r="R2" s="1580"/>
      <c r="S2" s="431"/>
      <c r="T2" s="434" t="s">
        <v>588</v>
      </c>
      <c r="U2" s="434">
        <f>'[1]다-2.자부담세입'!E8</f>
        <v>134400000</v>
      </c>
      <c r="V2" s="434">
        <v>9105019</v>
      </c>
      <c r="W2" s="434">
        <f t="shared" ref="W2:W6" si="0">SUM(U2:V2)</f>
        <v>143505019</v>
      </c>
      <c r="X2" s="435">
        <f>W2-S8</f>
        <v>0</v>
      </c>
    </row>
    <row r="3" spans="1:30" s="314" customFormat="1" ht="18" customHeight="1">
      <c r="A3" s="53"/>
      <c r="B3" s="53"/>
      <c r="C3" s="53"/>
      <c r="D3" s="53"/>
      <c r="E3" s="53"/>
      <c r="F3" s="51"/>
      <c r="G3" s="430"/>
      <c r="H3" s="430"/>
      <c r="I3" s="1583" t="s">
        <v>298</v>
      </c>
      <c r="J3" s="1583"/>
      <c r="K3" s="1583"/>
      <c r="L3" s="1583"/>
      <c r="M3" s="1583"/>
      <c r="N3" s="1583"/>
      <c r="O3" s="1583"/>
      <c r="P3" s="1583"/>
      <c r="Q3" s="1583"/>
      <c r="R3" s="1583"/>
      <c r="S3" s="431"/>
      <c r="T3" s="436" t="s">
        <v>589</v>
      </c>
      <c r="U3" s="436">
        <f>'[1]다-2.자부담세입'!E25</f>
        <v>40000000</v>
      </c>
      <c r="V3" s="436">
        <v>3080563</v>
      </c>
      <c r="W3" s="436">
        <f t="shared" si="0"/>
        <v>43080563</v>
      </c>
      <c r="X3" s="437">
        <f>W3-T8</f>
        <v>19000000</v>
      </c>
    </row>
    <row r="4" spans="1:30" s="286" customFormat="1" ht="22.5" customHeight="1">
      <c r="A4" s="1512" t="s">
        <v>301</v>
      </c>
      <c r="B4" s="1513"/>
      <c r="C4" s="1513"/>
      <c r="D4" s="1514"/>
      <c r="E4" s="1515" t="str">
        <f>[1]라.국도비세출!E4:E5</f>
        <v>당초예산
( A )</v>
      </c>
      <c r="F4" s="1517" t="str">
        <f>[1]라.국도비세출!F4:F5</f>
        <v>1차추경
( B )</v>
      </c>
      <c r="G4" s="1584" t="s">
        <v>480</v>
      </c>
      <c r="H4" s="1584"/>
      <c r="I4" s="1585" t="s">
        <v>508</v>
      </c>
      <c r="J4" s="1585"/>
      <c r="K4" s="1585"/>
      <c r="L4" s="1585"/>
      <c r="M4" s="1585"/>
      <c r="N4" s="1585"/>
      <c r="O4" s="1585"/>
      <c r="P4" s="1585"/>
      <c r="Q4" s="1585"/>
      <c r="R4" s="1586"/>
      <c r="S4" s="431"/>
      <c r="T4" s="438" t="s">
        <v>590</v>
      </c>
      <c r="U4" s="438">
        <f>'[1]다-2.자부담세입'!E34+'[1]다-2.자부담세입'!E32-'[1]라-2.자부담세출'!U5</f>
        <v>25550000</v>
      </c>
      <c r="V4" s="438">
        <v>7098481</v>
      </c>
      <c r="W4" s="438">
        <f t="shared" si="0"/>
        <v>32648481</v>
      </c>
      <c r="X4" s="439">
        <f>W4-U8</f>
        <v>0</v>
      </c>
    </row>
    <row r="5" spans="1:30" s="286" customFormat="1" ht="22.5" customHeight="1" thickBot="1">
      <c r="A5" s="287" t="s">
        <v>1</v>
      </c>
      <c r="B5" s="64" t="s">
        <v>2</v>
      </c>
      <c r="C5" s="64" t="s">
        <v>3</v>
      </c>
      <c r="D5" s="64" t="s">
        <v>501</v>
      </c>
      <c r="E5" s="1516"/>
      <c r="F5" s="1518"/>
      <c r="G5" s="440" t="s">
        <v>305</v>
      </c>
      <c r="H5" s="441" t="s">
        <v>306</v>
      </c>
      <c r="I5" s="1587"/>
      <c r="J5" s="1587"/>
      <c r="K5" s="1587"/>
      <c r="L5" s="1587"/>
      <c r="M5" s="1587"/>
      <c r="N5" s="1587"/>
      <c r="O5" s="1587"/>
      <c r="P5" s="1587"/>
      <c r="Q5" s="1587"/>
      <c r="R5" s="1588"/>
      <c r="S5" s="431">
        <f>'[1]다-2.자부담세입'!E6-'[1]라-2.자부담세출'!W1</f>
        <v>0</v>
      </c>
      <c r="T5" s="442" t="s">
        <v>591</v>
      </c>
      <c r="U5" s="442">
        <v>34000000</v>
      </c>
      <c r="V5" s="442">
        <v>2970859</v>
      </c>
      <c r="W5" s="442">
        <f t="shared" si="0"/>
        <v>36970859</v>
      </c>
      <c r="X5" s="443">
        <f>W5-V8</f>
        <v>0</v>
      </c>
    </row>
    <row r="6" spans="1:30" s="286" customFormat="1" ht="20.25" customHeight="1" thickTop="1">
      <c r="A6" s="1589" t="s">
        <v>511</v>
      </c>
      <c r="B6" s="1590"/>
      <c r="C6" s="1590"/>
      <c r="D6" s="444"/>
      <c r="E6" s="367">
        <v>226800000</v>
      </c>
      <c r="F6" s="367">
        <f>F7+F45+F50+F90+F87+F84</f>
        <v>237950000</v>
      </c>
      <c r="G6" s="71">
        <f>G7+G45+G50+G90+G87+G84</f>
        <v>11150000</v>
      </c>
      <c r="H6" s="445">
        <f>G6/E6*100</f>
        <v>4.9162257495590822</v>
      </c>
      <c r="I6" s="1591"/>
      <c r="J6" s="1591"/>
      <c r="K6" s="1591"/>
      <c r="L6" s="1591"/>
      <c r="M6" s="1591"/>
      <c r="N6" s="1591"/>
      <c r="O6" s="1591"/>
      <c r="P6" s="1591"/>
      <c r="Q6" s="1591"/>
      <c r="R6" s="1592"/>
      <c r="S6" s="431">
        <f>'[1]다-2.자부담세입'!E6-'[1]라-2.자부담세출'!F6</f>
        <v>0</v>
      </c>
      <c r="T6" s="446" t="s">
        <v>592</v>
      </c>
      <c r="U6" s="446">
        <f>'[1]다-2.자부담세입'!E33</f>
        <v>566878</v>
      </c>
      <c r="V6" s="446">
        <v>178200</v>
      </c>
      <c r="W6" s="446">
        <f t="shared" si="0"/>
        <v>745078</v>
      </c>
      <c r="X6" s="447">
        <f>W6-W8</f>
        <v>0</v>
      </c>
      <c r="Z6" s="42"/>
      <c r="AB6" s="448"/>
      <c r="AD6" s="448"/>
    </row>
    <row r="7" spans="1:30" ht="20.25" customHeight="1">
      <c r="A7" s="449" t="s">
        <v>310</v>
      </c>
      <c r="B7" s="450" t="s">
        <v>309</v>
      </c>
      <c r="C7" s="238"/>
      <c r="D7" s="233"/>
      <c r="E7" s="373">
        <v>88800000</v>
      </c>
      <c r="F7" s="373">
        <f>F8+F33+F38</f>
        <v>79950000</v>
      </c>
      <c r="G7" s="280">
        <f t="shared" ref="G7:G70" si="1">F7-E7</f>
        <v>-8850000</v>
      </c>
      <c r="H7" s="451">
        <f>G7/E7*100</f>
        <v>-9.9662162162162158</v>
      </c>
      <c r="I7" s="1578"/>
      <c r="J7" s="1578"/>
      <c r="K7" s="1578"/>
      <c r="L7" s="1578"/>
      <c r="M7" s="1578"/>
      <c r="N7" s="1578"/>
      <c r="O7" s="1578"/>
      <c r="P7" s="1578"/>
      <c r="Q7" s="1578"/>
      <c r="R7" s="1579"/>
      <c r="S7" s="452" t="s">
        <v>588</v>
      </c>
      <c r="T7" s="453" t="s">
        <v>589</v>
      </c>
      <c r="U7" s="454" t="s">
        <v>593</v>
      </c>
      <c r="V7" s="455" t="s">
        <v>594</v>
      </c>
      <c r="W7" s="456" t="s">
        <v>592</v>
      </c>
    </row>
    <row r="8" spans="1:30" ht="23.25" customHeight="1">
      <c r="A8" s="457"/>
      <c r="B8" s="233" t="s">
        <v>313</v>
      </c>
      <c r="C8" s="233" t="s">
        <v>312</v>
      </c>
      <c r="D8" s="233"/>
      <c r="E8" s="377">
        <v>33511060</v>
      </c>
      <c r="F8" s="377">
        <f>F9+F10+F11+F12+F26+F27+F32</f>
        <v>14543720</v>
      </c>
      <c r="G8" s="280">
        <f t="shared" si="1"/>
        <v>-18967340</v>
      </c>
      <c r="H8" s="451">
        <f t="shared" ref="H8:H71" si="2">G8/E8*100</f>
        <v>-56.600238846518138</v>
      </c>
      <c r="I8" s="1578"/>
      <c r="J8" s="1578"/>
      <c r="K8" s="1578"/>
      <c r="L8" s="1578"/>
      <c r="M8" s="1578"/>
      <c r="N8" s="1578"/>
      <c r="O8" s="1578"/>
      <c r="P8" s="1578"/>
      <c r="Q8" s="1578"/>
      <c r="R8" s="1579"/>
      <c r="S8" s="458">
        <f>SUM(S9:S92)</f>
        <v>143505019</v>
      </c>
      <c r="T8" s="459">
        <f>SUM(T9:T92)</f>
        <v>24080563</v>
      </c>
      <c r="U8" s="460">
        <f>SUM(U9:U92)</f>
        <v>32648481</v>
      </c>
      <c r="V8" s="461">
        <f>SUM(V9:V92)</f>
        <v>36970859</v>
      </c>
      <c r="W8" s="462">
        <f>SUM(W9:W92)</f>
        <v>745078</v>
      </c>
      <c r="X8" s="463">
        <f>SUM(S8:W8)-W1</f>
        <v>-19000000</v>
      </c>
      <c r="Z8" s="175"/>
    </row>
    <row r="9" spans="1:30" ht="16.5" hidden="1" customHeight="1">
      <c r="A9" s="464"/>
      <c r="B9" s="247"/>
      <c r="C9" s="233" t="s">
        <v>75</v>
      </c>
      <c r="D9" s="233"/>
      <c r="E9" s="377">
        <v>0</v>
      </c>
      <c r="F9" s="377">
        <v>0</v>
      </c>
      <c r="G9" s="280">
        <f t="shared" si="1"/>
        <v>0</v>
      </c>
      <c r="H9" s="451" t="e">
        <f t="shared" si="2"/>
        <v>#DIV/0!</v>
      </c>
      <c r="I9" s="1578"/>
      <c r="J9" s="1578"/>
      <c r="K9" s="1578"/>
      <c r="L9" s="1578"/>
      <c r="M9" s="1578"/>
      <c r="N9" s="1578"/>
      <c r="O9" s="1578"/>
      <c r="P9" s="1578"/>
      <c r="Q9" s="1578"/>
      <c r="R9" s="1579"/>
      <c r="S9" s="465"/>
      <c r="T9" s="466"/>
      <c r="U9" s="466"/>
      <c r="V9" s="465"/>
      <c r="W9" s="467"/>
      <c r="X9" s="468"/>
    </row>
    <row r="10" spans="1:30" ht="16.5" hidden="1" customHeight="1">
      <c r="A10" s="464"/>
      <c r="B10" s="249"/>
      <c r="C10" s="233" t="s">
        <v>595</v>
      </c>
      <c r="D10" s="233"/>
      <c r="E10" s="377">
        <v>0</v>
      </c>
      <c r="F10" s="377">
        <v>0</v>
      </c>
      <c r="G10" s="280">
        <f t="shared" si="1"/>
        <v>0</v>
      </c>
      <c r="H10" s="451" t="e">
        <f t="shared" si="2"/>
        <v>#DIV/0!</v>
      </c>
      <c r="I10" s="1578"/>
      <c r="J10" s="1578"/>
      <c r="K10" s="1578"/>
      <c r="L10" s="1578"/>
      <c r="M10" s="1578"/>
      <c r="N10" s="1578"/>
      <c r="O10" s="1578"/>
      <c r="P10" s="1578"/>
      <c r="Q10" s="1578"/>
      <c r="R10" s="1579"/>
      <c r="S10" s="465"/>
      <c r="T10" s="466"/>
      <c r="U10" s="466"/>
      <c r="V10" s="465"/>
      <c r="W10" s="467"/>
      <c r="X10" s="468"/>
    </row>
    <row r="11" spans="1:30" ht="16.5" hidden="1" customHeight="1">
      <c r="A11" s="464"/>
      <c r="B11" s="249"/>
      <c r="C11" s="233" t="s">
        <v>596</v>
      </c>
      <c r="D11" s="233"/>
      <c r="E11" s="377">
        <v>0</v>
      </c>
      <c r="F11" s="377">
        <v>0</v>
      </c>
      <c r="G11" s="280">
        <f t="shared" si="1"/>
        <v>0</v>
      </c>
      <c r="H11" s="451" t="e">
        <f t="shared" si="2"/>
        <v>#DIV/0!</v>
      </c>
      <c r="I11" s="1578"/>
      <c r="J11" s="1578"/>
      <c r="K11" s="1578"/>
      <c r="L11" s="1578"/>
      <c r="M11" s="1578"/>
      <c r="N11" s="1578"/>
      <c r="O11" s="1578"/>
      <c r="P11" s="1578"/>
      <c r="Q11" s="1578"/>
      <c r="R11" s="1579"/>
      <c r="S11" s="465"/>
      <c r="V11" s="465"/>
      <c r="W11" s="470"/>
      <c r="X11" s="471"/>
    </row>
    <row r="12" spans="1:30" ht="16.5" customHeight="1">
      <c r="A12" s="464"/>
      <c r="B12" s="249"/>
      <c r="C12" s="233" t="s">
        <v>63</v>
      </c>
      <c r="D12" s="233" t="s">
        <v>312</v>
      </c>
      <c r="E12" s="377">
        <v>19000000</v>
      </c>
      <c r="F12" s="377">
        <f>SUM(F13:F25)</f>
        <v>0</v>
      </c>
      <c r="G12" s="280">
        <f t="shared" si="1"/>
        <v>-19000000</v>
      </c>
      <c r="H12" s="451">
        <f t="shared" si="2"/>
        <v>-100</v>
      </c>
      <c r="I12" s="1578"/>
      <c r="J12" s="1578"/>
      <c r="K12" s="1578"/>
      <c r="L12" s="1578"/>
      <c r="M12" s="1578"/>
      <c r="N12" s="1578"/>
      <c r="O12" s="1578"/>
      <c r="P12" s="1578"/>
      <c r="Q12" s="1578"/>
      <c r="R12" s="1579"/>
      <c r="S12" s="465"/>
      <c r="T12" s="436">
        <f>F12</f>
        <v>0</v>
      </c>
      <c r="V12" s="465"/>
      <c r="W12" s="467"/>
      <c r="X12" s="472"/>
    </row>
    <row r="13" spans="1:30" ht="16.5" hidden="1" customHeight="1">
      <c r="A13" s="464"/>
      <c r="B13" s="249"/>
      <c r="C13" s="247"/>
      <c r="D13" s="159" t="s">
        <v>597</v>
      </c>
      <c r="E13" s="377">
        <v>0</v>
      </c>
      <c r="F13" s="377">
        <v>0</v>
      </c>
      <c r="G13" s="280">
        <f t="shared" si="1"/>
        <v>0</v>
      </c>
      <c r="H13" s="451" t="e">
        <f t="shared" si="2"/>
        <v>#DIV/0!</v>
      </c>
      <c r="I13" s="1578"/>
      <c r="J13" s="1578"/>
      <c r="K13" s="1578"/>
      <c r="L13" s="1578"/>
      <c r="M13" s="1578"/>
      <c r="N13" s="1578"/>
      <c r="O13" s="1578"/>
      <c r="P13" s="1578"/>
      <c r="Q13" s="1578"/>
      <c r="R13" s="1579"/>
      <c r="S13" s="465"/>
      <c r="V13" s="465"/>
      <c r="W13" s="470"/>
      <c r="X13" s="472"/>
    </row>
    <row r="14" spans="1:30" ht="16.5" hidden="1" customHeight="1">
      <c r="A14" s="464"/>
      <c r="B14" s="249"/>
      <c r="C14" s="249"/>
      <c r="D14" s="233" t="s">
        <v>598</v>
      </c>
      <c r="E14" s="377">
        <v>0</v>
      </c>
      <c r="F14" s="377">
        <v>0</v>
      </c>
      <c r="G14" s="280">
        <f t="shared" si="1"/>
        <v>0</v>
      </c>
      <c r="H14" s="451" t="e">
        <f t="shared" si="2"/>
        <v>#DIV/0!</v>
      </c>
      <c r="I14" s="1578"/>
      <c r="J14" s="1578"/>
      <c r="K14" s="1578"/>
      <c r="L14" s="1578"/>
      <c r="M14" s="1578"/>
      <c r="N14" s="1578"/>
      <c r="O14" s="1578"/>
      <c r="P14" s="1578"/>
      <c r="Q14" s="1578"/>
      <c r="R14" s="1579"/>
      <c r="S14" s="465"/>
      <c r="T14" s="466"/>
      <c r="U14" s="466"/>
      <c r="V14" s="465"/>
      <c r="W14" s="467"/>
      <c r="X14" s="472"/>
    </row>
    <row r="15" spans="1:30" ht="16.5" hidden="1" customHeight="1">
      <c r="A15" s="464"/>
      <c r="B15" s="249"/>
      <c r="C15" s="249"/>
      <c r="D15" s="233" t="s">
        <v>515</v>
      </c>
      <c r="E15" s="377">
        <v>0</v>
      </c>
      <c r="F15" s="377">
        <v>0</v>
      </c>
      <c r="G15" s="280">
        <f t="shared" si="1"/>
        <v>0</v>
      </c>
      <c r="H15" s="451" t="e">
        <f t="shared" si="2"/>
        <v>#DIV/0!</v>
      </c>
      <c r="I15" s="1578"/>
      <c r="J15" s="1578"/>
      <c r="K15" s="1578"/>
      <c r="L15" s="1578"/>
      <c r="M15" s="1578"/>
      <c r="N15" s="1578"/>
      <c r="O15" s="1578"/>
      <c r="P15" s="1578"/>
      <c r="Q15" s="1578"/>
      <c r="R15" s="1579"/>
      <c r="S15" s="465"/>
      <c r="T15" s="466"/>
      <c r="U15" s="466"/>
      <c r="V15" s="465"/>
      <c r="W15" s="467"/>
      <c r="X15" s="472"/>
    </row>
    <row r="16" spans="1:30" ht="16.5" hidden="1" customHeight="1">
      <c r="A16" s="464"/>
      <c r="B16" s="249"/>
      <c r="C16" s="249"/>
      <c r="D16" s="346" t="s">
        <v>599</v>
      </c>
      <c r="E16" s="377">
        <v>0</v>
      </c>
      <c r="F16" s="377">
        <v>0</v>
      </c>
      <c r="G16" s="280">
        <f t="shared" si="1"/>
        <v>0</v>
      </c>
      <c r="H16" s="451" t="e">
        <f t="shared" si="2"/>
        <v>#DIV/0!</v>
      </c>
      <c r="I16" s="1578"/>
      <c r="J16" s="1578"/>
      <c r="K16" s="1578"/>
      <c r="L16" s="1578"/>
      <c r="M16" s="1578"/>
      <c r="N16" s="1578"/>
      <c r="O16" s="1578"/>
      <c r="P16" s="1578"/>
      <c r="Q16" s="1578"/>
      <c r="R16" s="1579"/>
      <c r="S16" s="465"/>
      <c r="T16" s="466"/>
      <c r="U16" s="466"/>
      <c r="V16" s="465"/>
      <c r="W16" s="467"/>
      <c r="X16" s="472"/>
    </row>
    <row r="17" spans="1:30" ht="16.5" hidden="1" customHeight="1">
      <c r="A17" s="464"/>
      <c r="B17" s="249"/>
      <c r="C17" s="249"/>
      <c r="D17" s="346" t="s">
        <v>600</v>
      </c>
      <c r="E17" s="377">
        <v>0</v>
      </c>
      <c r="F17" s="377">
        <v>0</v>
      </c>
      <c r="G17" s="280">
        <f t="shared" si="1"/>
        <v>0</v>
      </c>
      <c r="H17" s="451" t="e">
        <f t="shared" si="2"/>
        <v>#DIV/0!</v>
      </c>
      <c r="I17" s="1578"/>
      <c r="J17" s="1578"/>
      <c r="K17" s="1578"/>
      <c r="L17" s="1578"/>
      <c r="M17" s="1578"/>
      <c r="N17" s="1578"/>
      <c r="O17" s="1578"/>
      <c r="P17" s="1578"/>
      <c r="Q17" s="1578"/>
      <c r="R17" s="1579"/>
      <c r="S17" s="465"/>
      <c r="T17" s="466"/>
      <c r="U17" s="466"/>
      <c r="V17" s="465"/>
      <c r="W17" s="467"/>
      <c r="X17" s="472"/>
    </row>
    <row r="18" spans="1:30" ht="16.5" hidden="1" customHeight="1">
      <c r="A18" s="464"/>
      <c r="B18" s="249"/>
      <c r="C18" s="249"/>
      <c r="D18" s="159" t="s">
        <v>601</v>
      </c>
      <c r="E18" s="377">
        <v>0</v>
      </c>
      <c r="F18" s="377">
        <v>0</v>
      </c>
      <c r="G18" s="280">
        <f t="shared" si="1"/>
        <v>0</v>
      </c>
      <c r="H18" s="451" t="e">
        <f t="shared" si="2"/>
        <v>#DIV/0!</v>
      </c>
      <c r="I18" s="1578"/>
      <c r="J18" s="1578"/>
      <c r="K18" s="1578"/>
      <c r="L18" s="1578"/>
      <c r="M18" s="1578"/>
      <c r="N18" s="1578"/>
      <c r="O18" s="1578"/>
      <c r="P18" s="1578"/>
      <c r="Q18" s="1578"/>
      <c r="R18" s="1579"/>
      <c r="S18" s="465"/>
      <c r="T18" s="466"/>
      <c r="U18" s="466"/>
      <c r="V18" s="465"/>
      <c r="W18" s="467"/>
      <c r="X18" s="472"/>
    </row>
    <row r="19" spans="1:30" ht="16.5" hidden="1" customHeight="1">
      <c r="A19" s="464"/>
      <c r="B19" s="249"/>
      <c r="C19" s="249"/>
      <c r="D19" s="159"/>
      <c r="E19" s="377"/>
      <c r="F19" s="377"/>
      <c r="G19" s="280">
        <f t="shared" si="1"/>
        <v>0</v>
      </c>
      <c r="H19" s="451" t="e">
        <f t="shared" si="2"/>
        <v>#DIV/0!</v>
      </c>
      <c r="I19" s="1578"/>
      <c r="J19" s="1578"/>
      <c r="K19" s="1578"/>
      <c r="L19" s="1578"/>
      <c r="M19" s="1578"/>
      <c r="N19" s="1578"/>
      <c r="O19" s="1578"/>
      <c r="P19" s="1578"/>
      <c r="Q19" s="1578"/>
      <c r="R19" s="1579"/>
      <c r="S19" s="465"/>
      <c r="T19" s="466"/>
      <c r="U19" s="466"/>
      <c r="V19" s="465"/>
      <c r="W19" s="467"/>
      <c r="X19" s="472"/>
    </row>
    <row r="20" spans="1:30" ht="16.5" hidden="1" customHeight="1">
      <c r="A20" s="464"/>
      <c r="B20" s="249"/>
      <c r="C20" s="249"/>
      <c r="D20" s="233" t="s">
        <v>517</v>
      </c>
      <c r="E20" s="377">
        <v>0</v>
      </c>
      <c r="F20" s="377">
        <v>0</v>
      </c>
      <c r="G20" s="280">
        <f t="shared" si="1"/>
        <v>0</v>
      </c>
      <c r="H20" s="451" t="e">
        <f t="shared" si="2"/>
        <v>#DIV/0!</v>
      </c>
      <c r="I20" s="1578"/>
      <c r="J20" s="1578"/>
      <c r="K20" s="1578"/>
      <c r="L20" s="1578"/>
      <c r="M20" s="1578"/>
      <c r="N20" s="1578"/>
      <c r="O20" s="1578"/>
      <c r="P20" s="1578"/>
      <c r="Q20" s="1578"/>
      <c r="R20" s="1579"/>
      <c r="S20" s="465"/>
      <c r="T20" s="466"/>
      <c r="U20" s="466"/>
      <c r="V20" s="465"/>
      <c r="W20" s="467"/>
      <c r="X20" s="472"/>
    </row>
    <row r="21" spans="1:30" ht="28.5" customHeight="1">
      <c r="A21" s="464"/>
      <c r="B21" s="249"/>
      <c r="C21" s="249"/>
      <c r="D21" s="233" t="s">
        <v>602</v>
      </c>
      <c r="E21" s="377">
        <v>19000000</v>
      </c>
      <c r="F21" s="377">
        <f>'사. 임직원보수 일람표'!N123</f>
        <v>0</v>
      </c>
      <c r="G21" s="280">
        <f>F21-E21</f>
        <v>-19000000</v>
      </c>
      <c r="H21" s="451">
        <f t="shared" si="2"/>
        <v>-100</v>
      </c>
      <c r="I21" s="1593" t="s">
        <v>603</v>
      </c>
      <c r="J21" s="1594"/>
      <c r="K21" s="1594"/>
      <c r="L21" s="1594"/>
      <c r="M21" s="1594"/>
      <c r="N21" s="1594"/>
      <c r="O21" s="1594"/>
      <c r="P21" s="1594"/>
      <c r="Q21" s="1594"/>
      <c r="R21" s="1595"/>
      <c r="S21" s="465"/>
      <c r="T21" s="466"/>
      <c r="U21" s="466"/>
      <c r="V21" s="465"/>
      <c r="W21" s="467"/>
      <c r="X21" s="472"/>
      <c r="Z21" s="175"/>
    </row>
    <row r="22" spans="1:30" ht="16.5" hidden="1" customHeight="1">
      <c r="A22" s="464"/>
      <c r="B22" s="249"/>
      <c r="C22" s="249"/>
      <c r="D22" s="346"/>
      <c r="E22" s="377">
        <v>0</v>
      </c>
      <c r="F22" s="377">
        <v>0</v>
      </c>
      <c r="G22" s="280">
        <f t="shared" si="1"/>
        <v>0</v>
      </c>
      <c r="H22" s="451" t="e">
        <f t="shared" si="2"/>
        <v>#DIV/0!</v>
      </c>
      <c r="I22" s="1578"/>
      <c r="J22" s="1578"/>
      <c r="K22" s="1578"/>
      <c r="L22" s="1578"/>
      <c r="M22" s="1578"/>
      <c r="N22" s="1578"/>
      <c r="O22" s="1578"/>
      <c r="P22" s="1578"/>
      <c r="Q22" s="1578"/>
      <c r="R22" s="1579"/>
      <c r="S22" s="465"/>
      <c r="T22" s="466"/>
      <c r="U22" s="466"/>
      <c r="V22" s="465"/>
      <c r="W22" s="467"/>
      <c r="X22" s="472"/>
    </row>
    <row r="23" spans="1:30" ht="16.5" hidden="1" customHeight="1">
      <c r="A23" s="464"/>
      <c r="B23" s="249"/>
      <c r="C23" s="249"/>
      <c r="D23" s="346"/>
      <c r="E23" s="377">
        <v>0</v>
      </c>
      <c r="F23" s="377">
        <v>0</v>
      </c>
      <c r="G23" s="280">
        <f t="shared" si="1"/>
        <v>0</v>
      </c>
      <c r="H23" s="451" t="e">
        <f t="shared" si="2"/>
        <v>#DIV/0!</v>
      </c>
      <c r="I23" s="1596"/>
      <c r="J23" s="1597"/>
      <c r="K23" s="1597"/>
      <c r="L23" s="1597"/>
      <c r="M23" s="1597"/>
      <c r="N23" s="1597"/>
      <c r="O23" s="1597"/>
      <c r="P23" s="1597"/>
      <c r="Q23" s="1597"/>
      <c r="R23" s="1598"/>
      <c r="S23" s="465"/>
      <c r="T23" s="466"/>
      <c r="U23" s="466"/>
      <c r="V23" s="465"/>
      <c r="W23" s="467"/>
      <c r="X23" s="472"/>
    </row>
    <row r="24" spans="1:30" ht="16.5" hidden="1" customHeight="1">
      <c r="A24" s="464"/>
      <c r="B24" s="249"/>
      <c r="C24" s="249"/>
      <c r="D24" s="346"/>
      <c r="E24" s="377">
        <v>0</v>
      </c>
      <c r="F24" s="377">
        <v>0</v>
      </c>
      <c r="G24" s="280">
        <f t="shared" si="1"/>
        <v>0</v>
      </c>
      <c r="H24" s="451" t="e">
        <f t="shared" si="2"/>
        <v>#DIV/0!</v>
      </c>
      <c r="I24" s="1599"/>
      <c r="J24" s="1600"/>
      <c r="K24" s="1600"/>
      <c r="L24" s="1600"/>
      <c r="M24" s="1600"/>
      <c r="N24" s="1600"/>
      <c r="O24" s="1600"/>
      <c r="P24" s="1600"/>
      <c r="Q24" s="1600"/>
      <c r="R24" s="1601"/>
      <c r="S24" s="465"/>
      <c r="T24" s="466"/>
      <c r="U24" s="466"/>
      <c r="V24" s="465"/>
      <c r="W24" s="467"/>
      <c r="X24" s="472"/>
    </row>
    <row r="25" spans="1:30" ht="16.5" hidden="1" customHeight="1">
      <c r="A25" s="464"/>
      <c r="B25" s="249"/>
      <c r="C25" s="251"/>
      <c r="D25" s="346"/>
      <c r="E25" s="377">
        <v>0</v>
      </c>
      <c r="F25" s="377">
        <v>0</v>
      </c>
      <c r="G25" s="280">
        <f t="shared" si="1"/>
        <v>0</v>
      </c>
      <c r="H25" s="451" t="e">
        <f t="shared" si="2"/>
        <v>#DIV/0!</v>
      </c>
      <c r="I25" s="1599"/>
      <c r="J25" s="1600"/>
      <c r="K25" s="1600"/>
      <c r="L25" s="1600"/>
      <c r="M25" s="1600"/>
      <c r="N25" s="1600"/>
      <c r="O25" s="1600"/>
      <c r="P25" s="1600"/>
      <c r="Q25" s="1600"/>
      <c r="R25" s="1601"/>
      <c r="S25" s="465"/>
      <c r="T25" s="466"/>
      <c r="U25" s="466"/>
      <c r="V25" s="465"/>
      <c r="W25" s="467"/>
      <c r="X25" s="472"/>
    </row>
    <row r="26" spans="1:30" ht="25.5" customHeight="1">
      <c r="A26" s="464"/>
      <c r="B26" s="249"/>
      <c r="C26" s="473" t="s">
        <v>604</v>
      </c>
      <c r="D26" s="474"/>
      <c r="E26" s="377">
        <v>1583330</v>
      </c>
      <c r="F26" s="377">
        <f>'[1]인건비총계표(자부담)'!U5</f>
        <v>1583330</v>
      </c>
      <c r="G26" s="280">
        <f t="shared" si="1"/>
        <v>0</v>
      </c>
      <c r="H26" s="451">
        <f t="shared" si="2"/>
        <v>0</v>
      </c>
      <c r="I26" s="1578"/>
      <c r="J26" s="1578"/>
      <c r="K26" s="1578"/>
      <c r="L26" s="1578"/>
      <c r="M26" s="1578"/>
      <c r="N26" s="1578"/>
      <c r="O26" s="1578"/>
      <c r="P26" s="1578"/>
      <c r="Q26" s="1578"/>
      <c r="R26" s="1579"/>
      <c r="S26" s="465"/>
      <c r="T26" s="475">
        <f>F26</f>
        <v>1583330</v>
      </c>
      <c r="V26" s="465"/>
      <c r="W26" s="470"/>
      <c r="X26" s="472"/>
    </row>
    <row r="27" spans="1:30" ht="25.5" customHeight="1">
      <c r="A27" s="464"/>
      <c r="B27" s="249"/>
      <c r="C27" s="476" t="s">
        <v>605</v>
      </c>
      <c r="D27" s="476" t="s">
        <v>312</v>
      </c>
      <c r="E27" s="377">
        <v>927730</v>
      </c>
      <c r="F27" s="377">
        <f>SUM(F28:F31)</f>
        <v>960390</v>
      </c>
      <c r="G27" s="280">
        <f t="shared" si="1"/>
        <v>32660</v>
      </c>
      <c r="H27" s="451">
        <f t="shared" si="2"/>
        <v>3.5204208120897245</v>
      </c>
      <c r="I27" s="1596"/>
      <c r="J27" s="1597"/>
      <c r="K27" s="1597"/>
      <c r="L27" s="1597"/>
      <c r="M27" s="1597"/>
      <c r="N27" s="1597"/>
      <c r="O27" s="1597"/>
      <c r="P27" s="1597"/>
      <c r="Q27" s="1597"/>
      <c r="R27" s="1598"/>
      <c r="S27" s="465"/>
      <c r="T27" s="436">
        <f>F27</f>
        <v>960390</v>
      </c>
      <c r="U27" s="466"/>
      <c r="V27" s="465"/>
      <c r="W27" s="467"/>
      <c r="X27" s="472"/>
    </row>
    <row r="28" spans="1:30" ht="27" customHeight="1">
      <c r="A28" s="464"/>
      <c r="B28" s="249"/>
      <c r="C28" s="477"/>
      <c r="D28" s="478" t="s">
        <v>606</v>
      </c>
      <c r="E28" s="388">
        <v>665930</v>
      </c>
      <c r="F28" s="388">
        <f>'[1]인건비총계표(자부담)'!W5+'[1]인건비총계표(자부담)'!X5+10</f>
        <v>698590</v>
      </c>
      <c r="G28" s="280">
        <f t="shared" si="1"/>
        <v>32660</v>
      </c>
      <c r="H28" s="451">
        <f t="shared" si="2"/>
        <v>4.9044193834186771</v>
      </c>
      <c r="I28" s="1552" t="s">
        <v>607</v>
      </c>
      <c r="J28" s="1553"/>
      <c r="K28" s="1553"/>
      <c r="L28" s="1553"/>
      <c r="M28" s="1553"/>
      <c r="N28" s="1553"/>
      <c r="O28" s="1553"/>
      <c r="P28" s="1553"/>
      <c r="Q28" s="1553"/>
      <c r="R28" s="1554"/>
      <c r="S28" s="479"/>
      <c r="T28" s="480"/>
      <c r="U28" s="467"/>
      <c r="V28" s="479"/>
      <c r="W28" s="480"/>
      <c r="X28" s="472"/>
    </row>
    <row r="29" spans="1:30" ht="16.5" hidden="1" customHeight="1">
      <c r="A29" s="464"/>
      <c r="B29" s="249"/>
      <c r="C29" s="481"/>
      <c r="D29" s="482" t="s">
        <v>608</v>
      </c>
      <c r="E29" s="377">
        <v>0</v>
      </c>
      <c r="F29" s="377">
        <v>0</v>
      </c>
      <c r="G29" s="280">
        <f t="shared" si="1"/>
        <v>0</v>
      </c>
      <c r="H29" s="451" t="e">
        <f t="shared" si="2"/>
        <v>#DIV/0!</v>
      </c>
      <c r="I29" s="1578"/>
      <c r="J29" s="1578"/>
      <c r="K29" s="1578"/>
      <c r="L29" s="1578"/>
      <c r="M29" s="1578"/>
      <c r="N29" s="1578"/>
      <c r="O29" s="1578"/>
      <c r="P29" s="1578"/>
      <c r="Q29" s="1578"/>
      <c r="R29" s="1579"/>
      <c r="S29" s="479"/>
      <c r="T29" s="467"/>
      <c r="U29" s="467"/>
      <c r="V29" s="479"/>
      <c r="W29" s="467"/>
      <c r="X29" s="472"/>
    </row>
    <row r="30" spans="1:30" ht="24" customHeight="1">
      <c r="A30" s="464"/>
      <c r="B30" s="249"/>
      <c r="C30" s="481"/>
      <c r="D30" s="482" t="s">
        <v>609</v>
      </c>
      <c r="E30" s="377">
        <v>138600</v>
      </c>
      <c r="F30" s="377">
        <f>'[1]인건비총계표(자부담)'!Y5</f>
        <v>138600</v>
      </c>
      <c r="G30" s="280">
        <f t="shared" si="1"/>
        <v>0</v>
      </c>
      <c r="H30" s="451">
        <f t="shared" si="2"/>
        <v>0</v>
      </c>
      <c r="I30" s="1555" t="s">
        <v>610</v>
      </c>
      <c r="J30" s="1556"/>
      <c r="K30" s="1556"/>
      <c r="L30" s="1556"/>
      <c r="M30" s="1556"/>
      <c r="N30" s="1556"/>
      <c r="O30" s="1556"/>
      <c r="P30" s="1556"/>
      <c r="Q30" s="1556"/>
      <c r="R30" s="1557"/>
      <c r="S30" s="479"/>
      <c r="T30" s="480"/>
      <c r="U30" s="467"/>
      <c r="V30" s="479"/>
      <c r="W30" s="480"/>
      <c r="X30" s="472"/>
    </row>
    <row r="31" spans="1:30" ht="24" customHeight="1">
      <c r="A31" s="464"/>
      <c r="B31" s="249"/>
      <c r="C31" s="483"/>
      <c r="D31" s="482" t="s">
        <v>611</v>
      </c>
      <c r="E31" s="377">
        <v>123200</v>
      </c>
      <c r="F31" s="377">
        <f>'[1]인건비총계표(자부담)'!Z5</f>
        <v>123200</v>
      </c>
      <c r="G31" s="280">
        <f t="shared" si="1"/>
        <v>0</v>
      </c>
      <c r="H31" s="451">
        <f t="shared" si="2"/>
        <v>0</v>
      </c>
      <c r="I31" s="1555" t="s">
        <v>612</v>
      </c>
      <c r="J31" s="1556"/>
      <c r="K31" s="1556"/>
      <c r="L31" s="1556"/>
      <c r="M31" s="1556"/>
      <c r="N31" s="1556"/>
      <c r="O31" s="1556"/>
      <c r="P31" s="1556"/>
      <c r="Q31" s="1556"/>
      <c r="R31" s="1557"/>
      <c r="S31" s="479"/>
      <c r="T31" s="480"/>
      <c r="U31" s="467"/>
      <c r="V31" s="479"/>
      <c r="W31" s="480"/>
      <c r="X31" s="472"/>
    </row>
    <row r="32" spans="1:30" ht="22.5" customHeight="1">
      <c r="A32" s="464"/>
      <c r="B32" s="251"/>
      <c r="C32" s="233" t="s">
        <v>320</v>
      </c>
      <c r="D32" s="233"/>
      <c r="E32" s="377">
        <v>12000000</v>
      </c>
      <c r="F32" s="377">
        <v>12000000</v>
      </c>
      <c r="G32" s="280">
        <f t="shared" si="1"/>
        <v>0</v>
      </c>
      <c r="H32" s="451">
        <f t="shared" si="2"/>
        <v>0</v>
      </c>
      <c r="I32" s="1602" t="s">
        <v>613</v>
      </c>
      <c r="J32" s="1603"/>
      <c r="K32" s="1603"/>
      <c r="L32" s="1603"/>
      <c r="M32" s="1603"/>
      <c r="N32" s="1603"/>
      <c r="O32" s="1603"/>
      <c r="P32" s="1603"/>
      <c r="Q32" s="1603"/>
      <c r="R32" s="1604"/>
      <c r="S32" s="465"/>
      <c r="T32" s="436">
        <f>F32-2000000</f>
        <v>10000000</v>
      </c>
      <c r="U32" s="484">
        <v>2000000</v>
      </c>
      <c r="V32" s="465"/>
      <c r="W32" s="467"/>
      <c r="X32" s="472"/>
      <c r="AD32" s="175"/>
    </row>
    <row r="33" spans="1:24" ht="24.75" customHeight="1">
      <c r="A33" s="464"/>
      <c r="B33" s="267" t="s">
        <v>614</v>
      </c>
      <c r="C33" s="233" t="s">
        <v>312</v>
      </c>
      <c r="D33" s="233"/>
      <c r="E33" s="373">
        <v>2000000</v>
      </c>
      <c r="F33" s="373">
        <f>SUM(F34:F37)</f>
        <v>2000000</v>
      </c>
      <c r="G33" s="280">
        <f t="shared" si="1"/>
        <v>0</v>
      </c>
      <c r="H33" s="451">
        <f t="shared" si="2"/>
        <v>0</v>
      </c>
      <c r="I33" s="1578"/>
      <c r="J33" s="1578"/>
      <c r="K33" s="1578"/>
      <c r="L33" s="1578"/>
      <c r="M33" s="1578"/>
      <c r="N33" s="1578"/>
      <c r="O33" s="1578"/>
      <c r="P33" s="1578"/>
      <c r="Q33" s="1578"/>
      <c r="R33" s="1579"/>
      <c r="S33" s="465"/>
      <c r="T33" s="467"/>
      <c r="U33" s="467"/>
      <c r="V33" s="465"/>
      <c r="W33" s="467"/>
      <c r="X33" s="472"/>
    </row>
    <row r="34" spans="1:24" ht="16.5" hidden="1" customHeight="1">
      <c r="A34" s="464"/>
      <c r="B34" s="247"/>
      <c r="C34" s="233" t="s">
        <v>530</v>
      </c>
      <c r="D34" s="233"/>
      <c r="E34" s="377">
        <v>0</v>
      </c>
      <c r="F34" s="377">
        <v>0</v>
      </c>
      <c r="G34" s="280">
        <f t="shared" si="1"/>
        <v>0</v>
      </c>
      <c r="H34" s="451" t="e">
        <f t="shared" si="2"/>
        <v>#DIV/0!</v>
      </c>
      <c r="I34" s="1578"/>
      <c r="J34" s="1578"/>
      <c r="K34" s="1578"/>
      <c r="L34" s="1578"/>
      <c r="M34" s="1578"/>
      <c r="N34" s="1578"/>
      <c r="O34" s="1578"/>
      <c r="P34" s="1578"/>
      <c r="Q34" s="1578"/>
      <c r="R34" s="1579"/>
      <c r="S34" s="465"/>
      <c r="T34" s="467"/>
      <c r="U34" s="467"/>
      <c r="V34" s="465"/>
      <c r="W34" s="467"/>
      <c r="X34" s="472"/>
    </row>
    <row r="35" spans="1:24" ht="16.5" hidden="1" customHeight="1">
      <c r="A35" s="485"/>
      <c r="B35" s="486"/>
      <c r="C35" s="356" t="s">
        <v>531</v>
      </c>
      <c r="D35" s="356"/>
      <c r="E35" s="487">
        <v>0</v>
      </c>
      <c r="F35" s="487">
        <v>0</v>
      </c>
      <c r="G35" s="280">
        <f t="shared" si="1"/>
        <v>0</v>
      </c>
      <c r="H35" s="451" t="e">
        <f t="shared" si="2"/>
        <v>#DIV/0!</v>
      </c>
      <c r="I35" s="1605"/>
      <c r="J35" s="1606"/>
      <c r="K35" s="1606"/>
      <c r="L35" s="1606"/>
      <c r="M35" s="1606"/>
      <c r="N35" s="1606"/>
      <c r="O35" s="1606"/>
      <c r="P35" s="1606"/>
      <c r="Q35" s="1606"/>
      <c r="R35" s="1607"/>
      <c r="S35" s="465"/>
      <c r="T35" s="467"/>
      <c r="U35" s="467"/>
      <c r="V35" s="465"/>
      <c r="W35" s="467"/>
      <c r="X35" s="472"/>
    </row>
    <row r="36" spans="1:24" ht="0.75" customHeight="1">
      <c r="A36" s="464"/>
      <c r="B36" s="249"/>
      <c r="C36" s="233" t="s">
        <v>615</v>
      </c>
      <c r="D36" s="233"/>
      <c r="E36" s="377">
        <v>0</v>
      </c>
      <c r="F36" s="377">
        <v>0</v>
      </c>
      <c r="G36" s="280">
        <f t="shared" si="1"/>
        <v>0</v>
      </c>
      <c r="H36" s="451" t="e">
        <f t="shared" si="2"/>
        <v>#DIV/0!</v>
      </c>
      <c r="I36" s="1578"/>
      <c r="J36" s="1578"/>
      <c r="K36" s="1578"/>
      <c r="L36" s="1578"/>
      <c r="M36" s="1578"/>
      <c r="N36" s="1578"/>
      <c r="O36" s="1578"/>
      <c r="P36" s="1578"/>
      <c r="Q36" s="1578"/>
      <c r="R36" s="1579"/>
      <c r="S36" s="465"/>
      <c r="T36" s="467"/>
      <c r="U36" s="467"/>
      <c r="V36" s="465"/>
      <c r="W36" s="467"/>
      <c r="X36" s="472"/>
    </row>
    <row r="37" spans="1:24" ht="22.5" customHeight="1">
      <c r="A37" s="464"/>
      <c r="B37" s="251"/>
      <c r="C37" s="233" t="s">
        <v>323</v>
      </c>
      <c r="D37" s="233"/>
      <c r="E37" s="377">
        <v>2000000</v>
      </c>
      <c r="F37" s="377">
        <v>2000000</v>
      </c>
      <c r="G37" s="280">
        <f t="shared" si="1"/>
        <v>0</v>
      </c>
      <c r="H37" s="451">
        <f t="shared" si="2"/>
        <v>0</v>
      </c>
      <c r="I37" s="1578" t="s">
        <v>616</v>
      </c>
      <c r="J37" s="1578"/>
      <c r="K37" s="1578"/>
      <c r="L37" s="1578"/>
      <c r="M37" s="1578"/>
      <c r="N37" s="1578"/>
      <c r="O37" s="1578"/>
      <c r="P37" s="1578"/>
      <c r="Q37" s="1578"/>
      <c r="R37" s="1579"/>
      <c r="S37" s="465"/>
      <c r="T37" s="467"/>
      <c r="U37" s="484">
        <v>2000000</v>
      </c>
      <c r="V37" s="465"/>
      <c r="W37" s="467"/>
      <c r="X37" s="472"/>
    </row>
    <row r="38" spans="1:24" ht="22.5" customHeight="1">
      <c r="A38" s="464"/>
      <c r="B38" s="233" t="s">
        <v>324</v>
      </c>
      <c r="C38" s="233" t="s">
        <v>312</v>
      </c>
      <c r="D38" s="233"/>
      <c r="E38" s="377">
        <v>53288940</v>
      </c>
      <c r="F38" s="377">
        <f>SUM(F39:F44)</f>
        <v>63406280</v>
      </c>
      <c r="G38" s="280">
        <f t="shared" si="1"/>
        <v>10117340</v>
      </c>
      <c r="H38" s="451">
        <f t="shared" si="2"/>
        <v>18.985815818441875</v>
      </c>
      <c r="I38" s="1578"/>
      <c r="J38" s="1578"/>
      <c r="K38" s="1578"/>
      <c r="L38" s="1578"/>
      <c r="M38" s="1578"/>
      <c r="N38" s="1578"/>
      <c r="O38" s="1578"/>
      <c r="P38" s="1578"/>
      <c r="Q38" s="1578"/>
      <c r="R38" s="1579"/>
      <c r="S38" s="465"/>
      <c r="T38" s="467"/>
      <c r="U38" s="467"/>
      <c r="V38" s="465"/>
      <c r="W38" s="467"/>
      <c r="X38" s="472"/>
    </row>
    <row r="39" spans="1:24" ht="22.5" customHeight="1">
      <c r="A39" s="464"/>
      <c r="B39" s="247"/>
      <c r="C39" s="233" t="s">
        <v>326</v>
      </c>
      <c r="D39" s="233"/>
      <c r="E39" s="377">
        <v>0</v>
      </c>
      <c r="F39" s="377">
        <v>0</v>
      </c>
      <c r="G39" s="280">
        <f t="shared" si="1"/>
        <v>0</v>
      </c>
      <c r="H39" s="451">
        <v>0</v>
      </c>
      <c r="I39" s="1578"/>
      <c r="J39" s="1578"/>
      <c r="K39" s="1578"/>
      <c r="L39" s="1578"/>
      <c r="M39" s="1578"/>
      <c r="N39" s="1578"/>
      <c r="O39" s="1578"/>
      <c r="P39" s="1578"/>
      <c r="Q39" s="1578"/>
      <c r="R39" s="1579"/>
      <c r="S39" s="465"/>
      <c r="T39" s="467"/>
      <c r="U39" s="467"/>
      <c r="V39" s="465"/>
      <c r="W39" s="467"/>
      <c r="X39" s="472"/>
    </row>
    <row r="40" spans="1:24" ht="22.5" customHeight="1">
      <c r="A40" s="464"/>
      <c r="B40" s="249"/>
      <c r="C40" s="233" t="s">
        <v>534</v>
      </c>
      <c r="D40" s="346"/>
      <c r="E40" s="377">
        <v>5688940</v>
      </c>
      <c r="F40" s="377">
        <v>6906280</v>
      </c>
      <c r="G40" s="280">
        <f t="shared" si="1"/>
        <v>1217340</v>
      </c>
      <c r="H40" s="451">
        <f t="shared" si="2"/>
        <v>21.398362436587483</v>
      </c>
      <c r="I40" s="1531" t="s">
        <v>535</v>
      </c>
      <c r="J40" s="1534"/>
      <c r="K40" s="1534"/>
      <c r="L40" s="1534"/>
      <c r="M40" s="1534"/>
      <c r="N40" s="1534"/>
      <c r="O40" s="1534"/>
      <c r="P40" s="1534"/>
      <c r="Q40" s="1534"/>
      <c r="R40" s="1535"/>
      <c r="S40" s="465"/>
      <c r="T40" s="436">
        <f>69503-32660</f>
        <v>36843</v>
      </c>
      <c r="U40" s="484">
        <f>F40-T40</f>
        <v>6869437</v>
      </c>
      <c r="V40" s="465"/>
      <c r="W40" s="467"/>
      <c r="X40" s="472"/>
    </row>
    <row r="41" spans="1:24" ht="22.5" customHeight="1">
      <c r="A41" s="464"/>
      <c r="B41" s="249"/>
      <c r="C41" s="233" t="s">
        <v>329</v>
      </c>
      <c r="D41" s="233"/>
      <c r="E41" s="377">
        <v>41100000</v>
      </c>
      <c r="F41" s="377">
        <v>50000000</v>
      </c>
      <c r="G41" s="280">
        <f t="shared" si="1"/>
        <v>8900000</v>
      </c>
      <c r="H41" s="451">
        <f t="shared" si="2"/>
        <v>21.654501216545015</v>
      </c>
      <c r="I41" s="1563" t="s">
        <v>536</v>
      </c>
      <c r="J41" s="1534"/>
      <c r="K41" s="1534"/>
      <c r="L41" s="1534"/>
      <c r="M41" s="1534"/>
      <c r="N41" s="1534"/>
      <c r="O41" s="1534"/>
      <c r="P41" s="1534"/>
      <c r="Q41" s="1534"/>
      <c r="R41" s="1535"/>
      <c r="S41" s="488">
        <f>F41-2000000-7000000+475878</f>
        <v>41475878</v>
      </c>
      <c r="T41" s="436">
        <v>2000000</v>
      </c>
      <c r="U41" s="484">
        <f>F41-S41-T41</f>
        <v>6524122</v>
      </c>
      <c r="V41" s="465"/>
      <c r="W41" s="467"/>
      <c r="X41" s="472"/>
    </row>
    <row r="42" spans="1:24" ht="22.5" customHeight="1">
      <c r="A42" s="464"/>
      <c r="B42" s="249"/>
      <c r="C42" s="233" t="s">
        <v>330</v>
      </c>
      <c r="D42" s="233"/>
      <c r="E42" s="377">
        <v>2000000</v>
      </c>
      <c r="F42" s="377">
        <v>2000000</v>
      </c>
      <c r="G42" s="280">
        <f t="shared" si="1"/>
        <v>0</v>
      </c>
      <c r="H42" s="451">
        <f t="shared" si="2"/>
        <v>0</v>
      </c>
      <c r="I42" s="1578" t="s">
        <v>330</v>
      </c>
      <c r="J42" s="1578"/>
      <c r="K42" s="1578"/>
      <c r="L42" s="1578"/>
      <c r="M42" s="1578"/>
      <c r="N42" s="1578"/>
      <c r="O42" s="1578"/>
      <c r="P42" s="1578"/>
      <c r="Q42" s="1578"/>
      <c r="R42" s="1579"/>
      <c r="S42" s="488">
        <f>F42</f>
        <v>2000000</v>
      </c>
      <c r="T42" s="467"/>
      <c r="U42" s="467"/>
      <c r="V42" s="465"/>
      <c r="W42" s="467"/>
      <c r="X42" s="472"/>
    </row>
    <row r="43" spans="1:24" ht="22.5" customHeight="1">
      <c r="A43" s="464"/>
      <c r="B43" s="249"/>
      <c r="C43" s="233" t="s">
        <v>331</v>
      </c>
      <c r="D43" s="233"/>
      <c r="E43" s="377">
        <v>500000</v>
      </c>
      <c r="F43" s="377">
        <v>500000</v>
      </c>
      <c r="G43" s="280">
        <f t="shared" si="1"/>
        <v>0</v>
      </c>
      <c r="H43" s="451">
        <f t="shared" si="2"/>
        <v>0</v>
      </c>
      <c r="I43" s="1608" t="s">
        <v>617</v>
      </c>
      <c r="J43" s="1609"/>
      <c r="K43" s="1609"/>
      <c r="L43" s="1609"/>
      <c r="M43" s="1609"/>
      <c r="N43" s="1609"/>
      <c r="O43" s="1609"/>
      <c r="P43" s="1609"/>
      <c r="Q43" s="1609"/>
      <c r="R43" s="1610"/>
      <c r="S43" s="465"/>
      <c r="T43" s="436">
        <f>F43</f>
        <v>500000</v>
      </c>
      <c r="U43" s="467"/>
      <c r="V43" s="465"/>
      <c r="W43" s="467"/>
      <c r="X43" s="472"/>
    </row>
    <row r="44" spans="1:24" ht="22.5" customHeight="1">
      <c r="A44" s="489"/>
      <c r="B44" s="251"/>
      <c r="C44" s="233" t="s">
        <v>332</v>
      </c>
      <c r="D44" s="233"/>
      <c r="E44" s="377">
        <v>4000000</v>
      </c>
      <c r="F44" s="377">
        <v>4000000</v>
      </c>
      <c r="G44" s="280">
        <f t="shared" si="1"/>
        <v>0</v>
      </c>
      <c r="H44" s="451">
        <f t="shared" si="2"/>
        <v>0</v>
      </c>
      <c r="I44" s="1611" t="s">
        <v>618</v>
      </c>
      <c r="J44" s="1612"/>
      <c r="K44" s="1612"/>
      <c r="L44" s="1612"/>
      <c r="M44" s="1612"/>
      <c r="N44" s="1612"/>
      <c r="O44" s="1612"/>
      <c r="P44" s="1612"/>
      <c r="Q44" s="1612"/>
      <c r="R44" s="1613"/>
      <c r="S44" s="465"/>
      <c r="T44" s="436">
        <f>F44-2000000</f>
        <v>2000000</v>
      </c>
      <c r="U44" s="484">
        <v>2000000</v>
      </c>
      <c r="V44" s="465"/>
      <c r="W44" s="467"/>
      <c r="X44" s="472"/>
    </row>
    <row r="45" spans="1:24" ht="22.5" customHeight="1">
      <c r="A45" s="490" t="s">
        <v>333</v>
      </c>
      <c r="B45" s="450" t="s">
        <v>309</v>
      </c>
      <c r="C45" s="238"/>
      <c r="D45" s="233"/>
      <c r="E45" s="377">
        <v>5000000</v>
      </c>
      <c r="F45" s="377">
        <f>F46</f>
        <v>10000000</v>
      </c>
      <c r="G45" s="280">
        <f t="shared" si="1"/>
        <v>5000000</v>
      </c>
      <c r="H45" s="491">
        <f t="shared" si="2"/>
        <v>100</v>
      </c>
      <c r="I45" s="1578"/>
      <c r="J45" s="1578"/>
      <c r="K45" s="1578"/>
      <c r="L45" s="1578"/>
      <c r="M45" s="1578"/>
      <c r="N45" s="1578"/>
      <c r="O45" s="1578"/>
      <c r="P45" s="1578"/>
      <c r="Q45" s="1578"/>
      <c r="R45" s="1579"/>
      <c r="S45" s="465"/>
      <c r="T45" s="467"/>
      <c r="U45" s="467"/>
      <c r="V45" s="465"/>
      <c r="W45" s="467"/>
      <c r="X45" s="472"/>
    </row>
    <row r="46" spans="1:24" ht="22.5" customHeight="1">
      <c r="A46" s="492"/>
      <c r="B46" s="233" t="s">
        <v>334</v>
      </c>
      <c r="C46" s="233" t="s">
        <v>312</v>
      </c>
      <c r="D46" s="233"/>
      <c r="E46" s="377">
        <v>5000000</v>
      </c>
      <c r="F46" s="377">
        <f>SUM(F47:F49)</f>
        <v>10000000</v>
      </c>
      <c r="G46" s="280">
        <f t="shared" si="1"/>
        <v>5000000</v>
      </c>
      <c r="H46" s="491">
        <f t="shared" si="2"/>
        <v>100</v>
      </c>
      <c r="I46" s="1596"/>
      <c r="J46" s="1597"/>
      <c r="K46" s="1597"/>
      <c r="L46" s="1597"/>
      <c r="M46" s="1597"/>
      <c r="N46" s="1597"/>
      <c r="O46" s="1597"/>
      <c r="P46" s="1597"/>
      <c r="Q46" s="1597"/>
      <c r="R46" s="1598"/>
      <c r="S46" s="465"/>
      <c r="T46" s="467"/>
      <c r="U46" s="467"/>
      <c r="V46" s="465"/>
      <c r="W46" s="467"/>
      <c r="X46" s="472"/>
    </row>
    <row r="47" spans="1:24" ht="16.5" customHeight="1">
      <c r="A47" s="464"/>
      <c r="B47" s="247"/>
      <c r="C47" s="233" t="s">
        <v>334</v>
      </c>
      <c r="D47" s="233"/>
      <c r="E47" s="377">
        <v>0</v>
      </c>
      <c r="F47" s="377">
        <v>0</v>
      </c>
      <c r="G47" s="280">
        <f t="shared" si="1"/>
        <v>0</v>
      </c>
      <c r="H47" s="491" t="e">
        <f t="shared" si="2"/>
        <v>#DIV/0!</v>
      </c>
      <c r="I47" s="1578" t="s">
        <v>619</v>
      </c>
      <c r="J47" s="1578"/>
      <c r="K47" s="1578"/>
      <c r="L47" s="1578"/>
      <c r="M47" s="1578"/>
      <c r="N47" s="1578"/>
      <c r="O47" s="1578"/>
      <c r="P47" s="1578"/>
      <c r="Q47" s="1578"/>
      <c r="R47" s="1579"/>
      <c r="S47" s="465"/>
      <c r="T47" s="467"/>
      <c r="U47" s="467"/>
      <c r="V47" s="465"/>
      <c r="W47" s="467"/>
      <c r="X47" s="472"/>
    </row>
    <row r="48" spans="1:24" ht="24" customHeight="1">
      <c r="A48" s="464"/>
      <c r="B48" s="249"/>
      <c r="C48" s="233" t="s">
        <v>335</v>
      </c>
      <c r="D48" s="233"/>
      <c r="E48" s="377">
        <v>5000000</v>
      </c>
      <c r="F48" s="377">
        <v>5000000</v>
      </c>
      <c r="G48" s="280">
        <f t="shared" si="1"/>
        <v>0</v>
      </c>
      <c r="H48" s="491">
        <f t="shared" si="2"/>
        <v>0</v>
      </c>
      <c r="I48" s="1614" t="s">
        <v>620</v>
      </c>
      <c r="J48" s="1615"/>
      <c r="K48" s="1615"/>
      <c r="L48" s="1615"/>
      <c r="M48" s="1615"/>
      <c r="N48" s="1615"/>
      <c r="O48" s="1615"/>
      <c r="P48" s="1615"/>
      <c r="Q48" s="1615"/>
      <c r="R48" s="1616"/>
      <c r="S48" s="465"/>
      <c r="T48" s="436">
        <f>F48</f>
        <v>5000000</v>
      </c>
      <c r="U48" s="467"/>
      <c r="V48" s="465"/>
      <c r="W48" s="467"/>
      <c r="X48" s="472"/>
    </row>
    <row r="49" spans="1:26" ht="24" customHeight="1">
      <c r="A49" s="493"/>
      <c r="B49" s="494"/>
      <c r="C49" s="349" t="s">
        <v>621</v>
      </c>
      <c r="D49" s="495"/>
      <c r="E49" s="397">
        <v>0</v>
      </c>
      <c r="F49" s="397">
        <v>5000000</v>
      </c>
      <c r="G49" s="281">
        <f t="shared" si="1"/>
        <v>5000000</v>
      </c>
      <c r="H49" s="496" t="e">
        <f t="shared" si="2"/>
        <v>#DIV/0!</v>
      </c>
      <c r="I49" s="1617" t="s">
        <v>622</v>
      </c>
      <c r="J49" s="1617"/>
      <c r="K49" s="1617"/>
      <c r="L49" s="1617"/>
      <c r="M49" s="1617"/>
      <c r="N49" s="1617"/>
      <c r="O49" s="1617"/>
      <c r="P49" s="1617"/>
      <c r="Q49" s="1617"/>
      <c r="R49" s="1618"/>
      <c r="S49" s="465"/>
      <c r="T49" s="467"/>
      <c r="U49" s="484">
        <f>G49</f>
        <v>5000000</v>
      </c>
      <c r="V49" s="465"/>
      <c r="W49" s="467"/>
      <c r="X49" s="472"/>
    </row>
    <row r="50" spans="1:26" ht="20.25" customHeight="1">
      <c r="A50" s="489" t="s">
        <v>337</v>
      </c>
      <c r="B50" s="497" t="s">
        <v>309</v>
      </c>
      <c r="C50" s="258"/>
      <c r="D50" s="498"/>
      <c r="E50" s="385">
        <v>133000000</v>
      </c>
      <c r="F50" s="385">
        <f>F51+F62+F73</f>
        <v>148000000</v>
      </c>
      <c r="G50" s="499">
        <f t="shared" si="1"/>
        <v>15000000</v>
      </c>
      <c r="H50" s="500">
        <f t="shared" si="2"/>
        <v>11.278195488721805</v>
      </c>
      <c r="I50" s="1619"/>
      <c r="J50" s="1620"/>
      <c r="K50" s="1620"/>
      <c r="L50" s="1620"/>
      <c r="M50" s="1620"/>
      <c r="N50" s="1620"/>
      <c r="O50" s="1620"/>
      <c r="P50" s="1620"/>
      <c r="Q50" s="1620"/>
      <c r="R50" s="1621"/>
      <c r="S50" s="465"/>
      <c r="T50" s="467"/>
      <c r="U50" s="467"/>
      <c r="V50" s="465"/>
      <c r="W50" s="467"/>
      <c r="X50" s="472"/>
    </row>
    <row r="51" spans="1:26" ht="22.5" customHeight="1">
      <c r="A51" s="457"/>
      <c r="B51" s="251" t="s">
        <v>324</v>
      </c>
      <c r="C51" s="251" t="s">
        <v>312</v>
      </c>
      <c r="D51" s="190"/>
      <c r="E51" s="501">
        <v>87000000</v>
      </c>
      <c r="F51" s="501">
        <f>SUM(F52,F53,F54,F57)</f>
        <v>102000000</v>
      </c>
      <c r="G51" s="280">
        <f t="shared" si="1"/>
        <v>15000000</v>
      </c>
      <c r="H51" s="451">
        <f t="shared" si="2"/>
        <v>17.241379310344829</v>
      </c>
      <c r="I51" s="1591"/>
      <c r="J51" s="1591"/>
      <c r="K51" s="1591"/>
      <c r="L51" s="1591"/>
      <c r="M51" s="1591"/>
      <c r="N51" s="1591"/>
      <c r="O51" s="1591"/>
      <c r="P51" s="1591"/>
      <c r="Q51" s="1591"/>
      <c r="R51" s="1592"/>
      <c r="S51" s="465"/>
      <c r="T51" s="467"/>
      <c r="U51" s="467"/>
      <c r="V51" s="465"/>
      <c r="W51" s="467"/>
      <c r="X51" s="472"/>
    </row>
    <row r="52" spans="1:26" ht="22.5" customHeight="1">
      <c r="A52" s="502"/>
      <c r="B52" s="247"/>
      <c r="C52" s="233" t="s">
        <v>340</v>
      </c>
      <c r="D52" s="159"/>
      <c r="E52" s="377">
        <v>70000000</v>
      </c>
      <c r="F52" s="377">
        <v>85000000</v>
      </c>
      <c r="G52" s="280">
        <f t="shared" si="1"/>
        <v>15000000</v>
      </c>
      <c r="H52" s="451">
        <f t="shared" si="2"/>
        <v>21.428571428571427</v>
      </c>
      <c r="I52" s="1622" t="s">
        <v>623</v>
      </c>
      <c r="J52" s="1623"/>
      <c r="K52" s="1623"/>
      <c r="L52" s="1623"/>
      <c r="M52" s="1623"/>
      <c r="N52" s="1623"/>
      <c r="O52" s="1623"/>
      <c r="P52" s="1623"/>
      <c r="Q52" s="1623"/>
      <c r="R52" s="1624"/>
      <c r="S52" s="503">
        <f>F52-V52-U52</f>
        <v>43029141</v>
      </c>
      <c r="T52" s="467"/>
      <c r="U52" s="484">
        <v>5000000</v>
      </c>
      <c r="V52" s="504">
        <f>W5</f>
        <v>36970859</v>
      </c>
      <c r="X52" s="472"/>
      <c r="Z52" s="43"/>
    </row>
    <row r="53" spans="1:26" ht="22.5" customHeight="1">
      <c r="A53" s="502"/>
      <c r="B53" s="249"/>
      <c r="C53" s="233" t="s">
        <v>342</v>
      </c>
      <c r="D53" s="159"/>
      <c r="E53" s="377">
        <v>4000000</v>
      </c>
      <c r="F53" s="377">
        <v>4000000</v>
      </c>
      <c r="G53" s="280">
        <f t="shared" si="1"/>
        <v>0</v>
      </c>
      <c r="H53" s="451">
        <f t="shared" si="2"/>
        <v>0</v>
      </c>
      <c r="I53" s="1578" t="s">
        <v>624</v>
      </c>
      <c r="J53" s="1578"/>
      <c r="K53" s="1578"/>
      <c r="L53" s="1578"/>
      <c r="M53" s="1578"/>
      <c r="N53" s="1578"/>
      <c r="O53" s="1578"/>
      <c r="P53" s="1578"/>
      <c r="Q53" s="1578"/>
      <c r="R53" s="1579"/>
      <c r="S53" s="503">
        <f>F53</f>
        <v>4000000</v>
      </c>
      <c r="T53" s="467"/>
      <c r="U53" s="467"/>
      <c r="V53" s="465"/>
      <c r="W53" s="467"/>
      <c r="X53" s="472"/>
    </row>
    <row r="54" spans="1:26" ht="22.5" customHeight="1">
      <c r="A54" s="502"/>
      <c r="B54" s="249"/>
      <c r="C54" s="233" t="s">
        <v>549</v>
      </c>
      <c r="D54" s="159" t="s">
        <v>312</v>
      </c>
      <c r="E54" s="377">
        <v>11000000</v>
      </c>
      <c r="F54" s="377">
        <f>SUM(F55:F56)</f>
        <v>11000000</v>
      </c>
      <c r="G54" s="280">
        <f t="shared" si="1"/>
        <v>0</v>
      </c>
      <c r="H54" s="451">
        <f t="shared" si="2"/>
        <v>0</v>
      </c>
      <c r="I54" s="1578"/>
      <c r="J54" s="1578"/>
      <c r="K54" s="1578"/>
      <c r="L54" s="1578"/>
      <c r="M54" s="1578"/>
      <c r="N54" s="1578"/>
      <c r="O54" s="1578"/>
      <c r="P54" s="1578"/>
      <c r="Q54" s="1578"/>
      <c r="R54" s="1579"/>
      <c r="S54" s="465"/>
      <c r="T54" s="467"/>
      <c r="U54" s="467"/>
      <c r="V54" s="465"/>
      <c r="W54" s="467"/>
      <c r="X54" s="472"/>
    </row>
    <row r="55" spans="1:26" ht="22.5" customHeight="1">
      <c r="A55" s="502"/>
      <c r="B55" s="249"/>
      <c r="C55" s="233"/>
      <c r="D55" s="159" t="s">
        <v>549</v>
      </c>
      <c r="E55" s="377">
        <v>3000000</v>
      </c>
      <c r="F55" s="377">
        <v>3000000</v>
      </c>
      <c r="G55" s="280">
        <f t="shared" si="1"/>
        <v>0</v>
      </c>
      <c r="H55" s="451">
        <f t="shared" si="2"/>
        <v>0</v>
      </c>
      <c r="I55" s="1599" t="s">
        <v>625</v>
      </c>
      <c r="J55" s="1600"/>
      <c r="K55" s="1600"/>
      <c r="L55" s="1600"/>
      <c r="M55" s="1600"/>
      <c r="N55" s="1600"/>
      <c r="O55" s="1600"/>
      <c r="P55" s="1600"/>
      <c r="Q55" s="1600"/>
      <c r="R55" s="1601"/>
      <c r="S55" s="503">
        <f>F55</f>
        <v>3000000</v>
      </c>
      <c r="T55" s="467"/>
      <c r="U55" s="467"/>
      <c r="V55" s="465"/>
      <c r="W55" s="467"/>
      <c r="X55" s="472"/>
    </row>
    <row r="56" spans="1:26" ht="22.5" customHeight="1">
      <c r="A56" s="502"/>
      <c r="B56" s="249"/>
      <c r="C56" s="233"/>
      <c r="D56" s="159" t="s">
        <v>552</v>
      </c>
      <c r="E56" s="377">
        <v>8000000</v>
      </c>
      <c r="F56" s="377">
        <v>8000000</v>
      </c>
      <c r="G56" s="280">
        <f t="shared" si="1"/>
        <v>0</v>
      </c>
      <c r="H56" s="451">
        <f>G56/E56*100</f>
        <v>0</v>
      </c>
      <c r="I56" s="1578" t="s">
        <v>626</v>
      </c>
      <c r="J56" s="1578"/>
      <c r="K56" s="1578"/>
      <c r="L56" s="1578"/>
      <c r="M56" s="1578"/>
      <c r="N56" s="1578"/>
      <c r="O56" s="1578"/>
      <c r="P56" s="1578"/>
      <c r="Q56" s="1578"/>
      <c r="R56" s="1579"/>
      <c r="S56" s="503">
        <f>F56</f>
        <v>8000000</v>
      </c>
      <c r="T56" s="467"/>
      <c r="U56" s="467"/>
      <c r="V56" s="465"/>
      <c r="W56" s="467"/>
      <c r="X56" s="472"/>
      <c r="Z56" s="175"/>
    </row>
    <row r="57" spans="1:26" ht="22.5" customHeight="1">
      <c r="A57" s="502"/>
      <c r="B57" s="249"/>
      <c r="C57" s="233" t="s">
        <v>344</v>
      </c>
      <c r="D57" s="159"/>
      <c r="E57" s="377">
        <v>2000000</v>
      </c>
      <c r="F57" s="377">
        <v>2000000</v>
      </c>
      <c r="G57" s="280">
        <f t="shared" si="1"/>
        <v>0</v>
      </c>
      <c r="H57" s="451">
        <f t="shared" si="2"/>
        <v>0</v>
      </c>
      <c r="I57" s="1578"/>
      <c r="J57" s="1578"/>
      <c r="K57" s="1578"/>
      <c r="L57" s="1578"/>
      <c r="M57" s="1578"/>
      <c r="N57" s="1578"/>
      <c r="O57" s="1578"/>
      <c r="P57" s="1578"/>
      <c r="Q57" s="1578"/>
      <c r="R57" s="1579"/>
      <c r="S57" s="503">
        <f>F57</f>
        <v>2000000</v>
      </c>
      <c r="T57" s="467"/>
      <c r="U57" s="467"/>
      <c r="V57" s="465"/>
      <c r="W57" s="467"/>
      <c r="X57" s="472"/>
    </row>
    <row r="58" spans="1:26" ht="13.5" hidden="1" customHeight="1">
      <c r="A58" s="502"/>
      <c r="B58" s="249"/>
      <c r="C58" s="233" t="s">
        <v>627</v>
      </c>
      <c r="D58" s="159"/>
      <c r="E58" s="377">
        <v>0</v>
      </c>
      <c r="F58" s="377">
        <v>0</v>
      </c>
      <c r="G58" s="280">
        <f t="shared" si="1"/>
        <v>0</v>
      </c>
      <c r="H58" s="451" t="e">
        <f t="shared" si="2"/>
        <v>#DIV/0!</v>
      </c>
      <c r="I58" s="1596"/>
      <c r="J58" s="1597"/>
      <c r="K58" s="1597"/>
      <c r="L58" s="1597"/>
      <c r="M58" s="1597"/>
      <c r="N58" s="1597"/>
      <c r="O58" s="1597"/>
      <c r="P58" s="1597"/>
      <c r="Q58" s="1597"/>
      <c r="R58" s="1598"/>
      <c r="S58" s="465"/>
      <c r="T58" s="467"/>
      <c r="U58" s="467"/>
      <c r="V58" s="465"/>
      <c r="W58" s="467"/>
      <c r="X58" s="472"/>
    </row>
    <row r="59" spans="1:26" ht="13.5" hidden="1" customHeight="1">
      <c r="A59" s="502"/>
      <c r="B59" s="249"/>
      <c r="C59" s="233" t="s">
        <v>628</v>
      </c>
      <c r="D59" s="159"/>
      <c r="E59" s="377">
        <v>0</v>
      </c>
      <c r="F59" s="377">
        <v>0</v>
      </c>
      <c r="G59" s="280">
        <f t="shared" si="1"/>
        <v>0</v>
      </c>
      <c r="H59" s="451" t="e">
        <f t="shared" si="2"/>
        <v>#DIV/0!</v>
      </c>
      <c r="I59" s="1596"/>
      <c r="J59" s="1597"/>
      <c r="K59" s="1597"/>
      <c r="L59" s="1597"/>
      <c r="M59" s="1597"/>
      <c r="N59" s="1597"/>
      <c r="O59" s="1597"/>
      <c r="P59" s="1597"/>
      <c r="Q59" s="1597"/>
      <c r="R59" s="1598"/>
      <c r="S59" s="465"/>
      <c r="T59" s="467"/>
      <c r="U59" s="467"/>
      <c r="V59" s="465"/>
      <c r="W59" s="467"/>
      <c r="X59" s="472"/>
    </row>
    <row r="60" spans="1:26" ht="13.5" hidden="1" customHeight="1">
      <c r="A60" s="502"/>
      <c r="B60" s="249"/>
      <c r="C60" s="233" t="s">
        <v>629</v>
      </c>
      <c r="D60" s="346"/>
      <c r="E60" s="377">
        <v>0</v>
      </c>
      <c r="F60" s="377">
        <v>0</v>
      </c>
      <c r="G60" s="280">
        <f t="shared" si="1"/>
        <v>0</v>
      </c>
      <c r="H60" s="451" t="e">
        <f t="shared" si="2"/>
        <v>#DIV/0!</v>
      </c>
      <c r="I60" s="1578"/>
      <c r="J60" s="1578"/>
      <c r="K60" s="1578"/>
      <c r="L60" s="1578"/>
      <c r="M60" s="1578"/>
      <c r="N60" s="1578"/>
      <c r="O60" s="1578"/>
      <c r="P60" s="1578"/>
      <c r="Q60" s="1578"/>
      <c r="R60" s="1579"/>
      <c r="S60" s="465"/>
      <c r="T60" s="467"/>
      <c r="U60" s="467"/>
      <c r="V60" s="465"/>
      <c r="W60" s="467"/>
      <c r="X60" s="472"/>
    </row>
    <row r="61" spans="1:26" ht="13.5" hidden="1" customHeight="1">
      <c r="A61" s="502"/>
      <c r="B61" s="251"/>
      <c r="C61" s="233" t="s">
        <v>345</v>
      </c>
      <c r="D61" s="159"/>
      <c r="E61" s="377">
        <v>0</v>
      </c>
      <c r="F61" s="377">
        <v>0</v>
      </c>
      <c r="G61" s="280">
        <f t="shared" si="1"/>
        <v>0</v>
      </c>
      <c r="H61" s="451" t="e">
        <f t="shared" si="2"/>
        <v>#DIV/0!</v>
      </c>
      <c r="I61" s="1599"/>
      <c r="J61" s="1600"/>
      <c r="K61" s="1600"/>
      <c r="L61" s="1600"/>
      <c r="M61" s="1600"/>
      <c r="N61" s="1600"/>
      <c r="O61" s="1600"/>
      <c r="P61" s="1600"/>
      <c r="Q61" s="1600"/>
      <c r="R61" s="1601"/>
      <c r="S61" s="465"/>
      <c r="T61" s="467"/>
      <c r="U61" s="467"/>
      <c r="V61" s="465"/>
      <c r="W61" s="467"/>
      <c r="X61" s="472"/>
    </row>
    <row r="62" spans="1:26" s="52" customFormat="1" ht="13.5" hidden="1" customHeight="1">
      <c r="A62" s="464"/>
      <c r="B62" s="233" t="s">
        <v>630</v>
      </c>
      <c r="C62" s="233" t="s">
        <v>312</v>
      </c>
      <c r="D62" s="233"/>
      <c r="E62" s="377">
        <v>0</v>
      </c>
      <c r="F62" s="377">
        <f>SUM(F63:F72)</f>
        <v>0</v>
      </c>
      <c r="G62" s="280">
        <f t="shared" si="1"/>
        <v>0</v>
      </c>
      <c r="H62" s="451" t="e">
        <f t="shared" si="2"/>
        <v>#DIV/0!</v>
      </c>
      <c r="I62" s="1555"/>
      <c r="J62" s="1556"/>
      <c r="K62" s="1556"/>
      <c r="L62" s="1556"/>
      <c r="M62" s="1556"/>
      <c r="N62" s="1556"/>
      <c r="O62" s="1556"/>
      <c r="P62" s="1556"/>
      <c r="Q62" s="1556"/>
      <c r="R62" s="1557"/>
      <c r="S62" s="465"/>
      <c r="T62" s="467"/>
      <c r="U62" s="467"/>
      <c r="V62" s="465"/>
      <c r="W62" s="467"/>
      <c r="X62" s="472"/>
    </row>
    <row r="63" spans="1:26" s="52" customFormat="1" ht="13.5" hidden="1" customHeight="1">
      <c r="A63" s="464"/>
      <c r="B63" s="249"/>
      <c r="C63" s="233" t="s">
        <v>631</v>
      </c>
      <c r="D63" s="233"/>
      <c r="E63" s="377">
        <v>0</v>
      </c>
      <c r="F63" s="377">
        <v>0</v>
      </c>
      <c r="G63" s="280">
        <f t="shared" si="1"/>
        <v>0</v>
      </c>
      <c r="H63" s="451" t="e">
        <f t="shared" si="2"/>
        <v>#DIV/0!</v>
      </c>
      <c r="I63" s="1555"/>
      <c r="J63" s="1556"/>
      <c r="K63" s="1556"/>
      <c r="L63" s="1556"/>
      <c r="M63" s="1556"/>
      <c r="N63" s="1556"/>
      <c r="O63" s="1556"/>
      <c r="P63" s="1556"/>
      <c r="Q63" s="1556"/>
      <c r="R63" s="1557"/>
      <c r="S63" s="465"/>
      <c r="T63" s="467"/>
      <c r="U63" s="467"/>
      <c r="V63" s="465"/>
      <c r="W63" s="467"/>
      <c r="X63" s="472"/>
    </row>
    <row r="64" spans="1:26" s="52" customFormat="1" ht="13.5" hidden="1" customHeight="1">
      <c r="A64" s="464"/>
      <c r="B64" s="249"/>
      <c r="C64" s="233" t="s">
        <v>632</v>
      </c>
      <c r="D64" s="233"/>
      <c r="E64" s="377">
        <v>0</v>
      </c>
      <c r="F64" s="377">
        <v>0</v>
      </c>
      <c r="G64" s="280">
        <f t="shared" si="1"/>
        <v>0</v>
      </c>
      <c r="H64" s="451" t="e">
        <f t="shared" si="2"/>
        <v>#DIV/0!</v>
      </c>
      <c r="I64" s="1555"/>
      <c r="J64" s="1556"/>
      <c r="K64" s="1556"/>
      <c r="L64" s="1556"/>
      <c r="M64" s="1556"/>
      <c r="N64" s="1556"/>
      <c r="O64" s="1556"/>
      <c r="P64" s="1556"/>
      <c r="Q64" s="1556"/>
      <c r="R64" s="1557"/>
      <c r="S64" s="465"/>
      <c r="T64" s="467"/>
      <c r="U64" s="467"/>
      <c r="V64" s="465"/>
      <c r="W64" s="467"/>
      <c r="X64" s="472"/>
    </row>
    <row r="65" spans="1:26" s="52" customFormat="1" ht="13.5" hidden="1" customHeight="1">
      <c r="A65" s="464"/>
      <c r="B65" s="249"/>
      <c r="C65" s="233" t="s">
        <v>633</v>
      </c>
      <c r="D65" s="233"/>
      <c r="E65" s="377">
        <v>0</v>
      </c>
      <c r="F65" s="377">
        <v>0</v>
      </c>
      <c r="G65" s="280">
        <f t="shared" si="1"/>
        <v>0</v>
      </c>
      <c r="H65" s="451" t="e">
        <f t="shared" si="2"/>
        <v>#DIV/0!</v>
      </c>
      <c r="I65" s="1555"/>
      <c r="J65" s="1556"/>
      <c r="K65" s="1556"/>
      <c r="L65" s="1556"/>
      <c r="M65" s="1556"/>
      <c r="N65" s="1556"/>
      <c r="O65" s="1556"/>
      <c r="P65" s="1556"/>
      <c r="Q65" s="1556"/>
      <c r="R65" s="1557"/>
      <c r="S65" s="465"/>
      <c r="T65" s="467"/>
      <c r="U65" s="467"/>
      <c r="V65" s="465"/>
      <c r="W65" s="467"/>
      <c r="X65" s="472"/>
    </row>
    <row r="66" spans="1:26" s="52" customFormat="1" ht="13.5" hidden="1" customHeight="1">
      <c r="A66" s="464"/>
      <c r="B66" s="249"/>
      <c r="C66" s="233" t="s">
        <v>634</v>
      </c>
      <c r="D66" s="233"/>
      <c r="E66" s="377">
        <v>0</v>
      </c>
      <c r="F66" s="377">
        <v>0</v>
      </c>
      <c r="G66" s="280">
        <f t="shared" si="1"/>
        <v>0</v>
      </c>
      <c r="H66" s="451" t="e">
        <f t="shared" si="2"/>
        <v>#DIV/0!</v>
      </c>
      <c r="I66" s="1555"/>
      <c r="J66" s="1556"/>
      <c r="K66" s="1556"/>
      <c r="L66" s="1556"/>
      <c r="M66" s="1556"/>
      <c r="N66" s="1556"/>
      <c r="O66" s="1556"/>
      <c r="P66" s="1556"/>
      <c r="Q66" s="1556"/>
      <c r="R66" s="1557"/>
      <c r="S66" s="465"/>
      <c r="T66" s="467"/>
      <c r="U66" s="467"/>
      <c r="V66" s="465"/>
      <c r="W66" s="467"/>
      <c r="X66" s="472"/>
    </row>
    <row r="67" spans="1:26" s="52" customFormat="1" ht="13.5" hidden="1" customHeight="1">
      <c r="A67" s="464"/>
      <c r="B67" s="249"/>
      <c r="C67" s="233" t="s">
        <v>635</v>
      </c>
      <c r="D67" s="233"/>
      <c r="E67" s="377">
        <v>0</v>
      </c>
      <c r="F67" s="377">
        <v>0</v>
      </c>
      <c r="G67" s="280">
        <f t="shared" si="1"/>
        <v>0</v>
      </c>
      <c r="H67" s="451" t="e">
        <f t="shared" si="2"/>
        <v>#DIV/0!</v>
      </c>
      <c r="I67" s="1555"/>
      <c r="J67" s="1556"/>
      <c r="K67" s="1556"/>
      <c r="L67" s="1556"/>
      <c r="M67" s="1556"/>
      <c r="N67" s="1556"/>
      <c r="O67" s="1556"/>
      <c r="P67" s="1556"/>
      <c r="Q67" s="1556"/>
      <c r="R67" s="1557"/>
      <c r="S67" s="465"/>
      <c r="T67" s="467"/>
      <c r="U67" s="467"/>
      <c r="V67" s="465"/>
      <c r="W67" s="467"/>
      <c r="X67" s="472"/>
    </row>
    <row r="68" spans="1:26" s="52" customFormat="1" ht="13.5" hidden="1" customHeight="1">
      <c r="A68" s="464"/>
      <c r="B68" s="249"/>
      <c r="C68" s="233" t="s">
        <v>636</v>
      </c>
      <c r="D68" s="233"/>
      <c r="E68" s="377">
        <v>0</v>
      </c>
      <c r="F68" s="377">
        <v>0</v>
      </c>
      <c r="G68" s="280">
        <f t="shared" si="1"/>
        <v>0</v>
      </c>
      <c r="H68" s="451" t="e">
        <f t="shared" si="2"/>
        <v>#DIV/0!</v>
      </c>
      <c r="I68" s="1555"/>
      <c r="J68" s="1556"/>
      <c r="K68" s="1556"/>
      <c r="L68" s="1556"/>
      <c r="M68" s="1556"/>
      <c r="N68" s="1556"/>
      <c r="O68" s="1556"/>
      <c r="P68" s="1556"/>
      <c r="Q68" s="1556"/>
      <c r="R68" s="1557"/>
      <c r="S68" s="465"/>
      <c r="T68" s="467"/>
      <c r="U68" s="467"/>
      <c r="V68" s="465"/>
      <c r="W68" s="467"/>
      <c r="X68" s="472"/>
    </row>
    <row r="69" spans="1:26" s="52" customFormat="1" ht="13.5" hidden="1" customHeight="1">
      <c r="A69" s="464"/>
      <c r="B69" s="249"/>
      <c r="C69" s="233" t="s">
        <v>637</v>
      </c>
      <c r="D69" s="233"/>
      <c r="E69" s="377">
        <v>0</v>
      </c>
      <c r="F69" s="377">
        <v>0</v>
      </c>
      <c r="G69" s="280">
        <f t="shared" si="1"/>
        <v>0</v>
      </c>
      <c r="H69" s="451" t="e">
        <f t="shared" si="2"/>
        <v>#DIV/0!</v>
      </c>
      <c r="I69" s="1555"/>
      <c r="J69" s="1556"/>
      <c r="K69" s="1556"/>
      <c r="L69" s="1556"/>
      <c r="M69" s="1556"/>
      <c r="N69" s="1556"/>
      <c r="O69" s="1556"/>
      <c r="P69" s="1556"/>
      <c r="Q69" s="1556"/>
      <c r="R69" s="1557"/>
      <c r="S69" s="465"/>
      <c r="T69" s="467"/>
      <c r="U69" s="467"/>
      <c r="V69" s="465"/>
      <c r="W69" s="467"/>
      <c r="X69" s="472"/>
    </row>
    <row r="70" spans="1:26" s="52" customFormat="1" ht="13.5" hidden="1" customHeight="1">
      <c r="A70" s="464"/>
      <c r="B70" s="249"/>
      <c r="C70" s="233" t="s">
        <v>638</v>
      </c>
      <c r="D70" s="233"/>
      <c r="E70" s="377">
        <v>0</v>
      </c>
      <c r="F70" s="377">
        <v>0</v>
      </c>
      <c r="G70" s="280">
        <f t="shared" si="1"/>
        <v>0</v>
      </c>
      <c r="H70" s="451" t="e">
        <f t="shared" si="2"/>
        <v>#DIV/0!</v>
      </c>
      <c r="I70" s="1555"/>
      <c r="J70" s="1556"/>
      <c r="K70" s="1556"/>
      <c r="L70" s="1556"/>
      <c r="M70" s="1556"/>
      <c r="N70" s="1556"/>
      <c r="O70" s="1556"/>
      <c r="P70" s="1556"/>
      <c r="Q70" s="1556"/>
      <c r="R70" s="1557"/>
      <c r="S70" s="465"/>
      <c r="T70" s="467"/>
      <c r="U70" s="467"/>
      <c r="V70" s="465"/>
      <c r="W70" s="467"/>
      <c r="X70" s="472"/>
    </row>
    <row r="71" spans="1:26" s="52" customFormat="1" ht="13.5" hidden="1" customHeight="1">
      <c r="A71" s="464"/>
      <c r="B71" s="249"/>
      <c r="C71" s="233" t="s">
        <v>639</v>
      </c>
      <c r="D71" s="233"/>
      <c r="E71" s="377">
        <v>0</v>
      </c>
      <c r="F71" s="377">
        <v>0</v>
      </c>
      <c r="G71" s="280">
        <f t="shared" ref="G71:G92" si="3">F71-E71</f>
        <v>0</v>
      </c>
      <c r="H71" s="451" t="e">
        <f t="shared" si="2"/>
        <v>#DIV/0!</v>
      </c>
      <c r="I71" s="1555"/>
      <c r="J71" s="1556"/>
      <c r="K71" s="1556"/>
      <c r="L71" s="1556"/>
      <c r="M71" s="1556"/>
      <c r="N71" s="1556"/>
      <c r="O71" s="1556"/>
      <c r="P71" s="1556"/>
      <c r="Q71" s="1556"/>
      <c r="R71" s="1557"/>
      <c r="S71" s="465"/>
      <c r="T71" s="467"/>
      <c r="U71" s="467"/>
      <c r="V71" s="465"/>
      <c r="W71" s="467"/>
      <c r="X71" s="472"/>
    </row>
    <row r="72" spans="1:26" s="52" customFormat="1" ht="13.5" hidden="1" customHeight="1">
      <c r="A72" s="464"/>
      <c r="B72" s="249"/>
      <c r="C72" s="233" t="s">
        <v>640</v>
      </c>
      <c r="D72" s="233"/>
      <c r="E72" s="377">
        <v>0</v>
      </c>
      <c r="F72" s="377">
        <v>0</v>
      </c>
      <c r="G72" s="280">
        <f t="shared" si="3"/>
        <v>0</v>
      </c>
      <c r="H72" s="451" t="e">
        <f t="shared" ref="H72:H73" si="4">G72/E72*100</f>
        <v>#DIV/0!</v>
      </c>
      <c r="I72" s="1555"/>
      <c r="J72" s="1556"/>
      <c r="K72" s="1556"/>
      <c r="L72" s="1556"/>
      <c r="M72" s="1556"/>
      <c r="N72" s="1556"/>
      <c r="O72" s="1556"/>
      <c r="P72" s="1556"/>
      <c r="Q72" s="1556"/>
      <c r="R72" s="1557"/>
      <c r="S72" s="465"/>
      <c r="T72" s="467"/>
      <c r="U72" s="467"/>
      <c r="V72" s="465"/>
      <c r="W72" s="467"/>
      <c r="X72" s="472"/>
    </row>
    <row r="73" spans="1:26" s="52" customFormat="1" ht="24" customHeight="1">
      <c r="A73" s="464"/>
      <c r="B73" s="233" t="s">
        <v>337</v>
      </c>
      <c r="C73" s="233" t="s">
        <v>312</v>
      </c>
      <c r="D73" s="233"/>
      <c r="E73" s="377">
        <v>46000000</v>
      </c>
      <c r="F73" s="377">
        <f>F74+F75+F76+F77+F78+F80</f>
        <v>46000000</v>
      </c>
      <c r="G73" s="280">
        <f t="shared" si="3"/>
        <v>0</v>
      </c>
      <c r="H73" s="451">
        <f t="shared" si="4"/>
        <v>0</v>
      </c>
      <c r="I73" s="1596"/>
      <c r="J73" s="1597"/>
      <c r="K73" s="1597"/>
      <c r="L73" s="1597"/>
      <c r="M73" s="1597"/>
      <c r="N73" s="1597"/>
      <c r="O73" s="1597"/>
      <c r="P73" s="1597"/>
      <c r="Q73" s="1597"/>
      <c r="R73" s="1598"/>
      <c r="S73" s="465"/>
      <c r="T73" s="467"/>
      <c r="U73" s="467"/>
      <c r="V73" s="465"/>
      <c r="W73" s="467"/>
      <c r="X73" s="472"/>
      <c r="Z73" s="387"/>
    </row>
    <row r="74" spans="1:26" s="52" customFormat="1" ht="20.25" customHeight="1">
      <c r="A74" s="464"/>
      <c r="B74" s="247"/>
      <c r="C74" s="233" t="s">
        <v>641</v>
      </c>
      <c r="D74" s="233"/>
      <c r="E74" s="377">
        <v>0</v>
      </c>
      <c r="F74" s="377">
        <v>0</v>
      </c>
      <c r="G74" s="280">
        <f t="shared" si="3"/>
        <v>0</v>
      </c>
      <c r="H74" s="451">
        <v>0</v>
      </c>
      <c r="I74" s="1548"/>
      <c r="J74" s="1549"/>
      <c r="K74" s="1549"/>
      <c r="L74" s="1549"/>
      <c r="M74" s="1549"/>
      <c r="N74" s="1549"/>
      <c r="O74" s="1549"/>
      <c r="P74" s="1549"/>
      <c r="Q74" s="1549"/>
      <c r="R74" s="1550"/>
      <c r="S74" s="465"/>
      <c r="T74" s="467"/>
      <c r="U74" s="467"/>
      <c r="V74" s="465"/>
      <c r="W74" s="467"/>
      <c r="X74" s="472"/>
    </row>
    <row r="75" spans="1:26" s="52" customFormat="1" ht="23.25" customHeight="1">
      <c r="A75" s="464"/>
      <c r="B75" s="249"/>
      <c r="C75" s="233" t="s">
        <v>554</v>
      </c>
      <c r="D75" s="233"/>
      <c r="E75" s="377">
        <v>41000000</v>
      </c>
      <c r="F75" s="377">
        <v>41000000</v>
      </c>
      <c r="G75" s="280">
        <f t="shared" si="3"/>
        <v>0</v>
      </c>
      <c r="H75" s="451">
        <v>0</v>
      </c>
      <c r="I75" s="1625" t="s">
        <v>642</v>
      </c>
      <c r="J75" s="1626"/>
      <c r="K75" s="1626"/>
      <c r="L75" s="1626"/>
      <c r="M75" s="1626"/>
      <c r="N75" s="1626"/>
      <c r="O75" s="1626"/>
      <c r="P75" s="1626"/>
      <c r="Q75" s="1626"/>
      <c r="R75" s="1627"/>
      <c r="S75" s="503">
        <v>35000000</v>
      </c>
      <c r="T75" s="436">
        <v>2000000</v>
      </c>
      <c r="U75" s="506">
        <v>3254922</v>
      </c>
      <c r="W75" s="446">
        <v>745078</v>
      </c>
      <c r="X75" s="472"/>
    </row>
    <row r="76" spans="1:26" s="52" customFormat="1" ht="21" customHeight="1">
      <c r="A76" s="464"/>
      <c r="B76" s="249"/>
      <c r="C76" s="233" t="s">
        <v>643</v>
      </c>
      <c r="D76" s="507"/>
      <c r="E76" s="377">
        <v>0</v>
      </c>
      <c r="F76" s="377">
        <v>0</v>
      </c>
      <c r="G76" s="280">
        <f t="shared" si="3"/>
        <v>0</v>
      </c>
      <c r="H76" s="451">
        <v>0</v>
      </c>
      <c r="I76" s="1628" t="s">
        <v>644</v>
      </c>
      <c r="J76" s="1629"/>
      <c r="K76" s="1629"/>
      <c r="L76" s="1629"/>
      <c r="M76" s="1629"/>
      <c r="N76" s="1629"/>
      <c r="O76" s="1629"/>
      <c r="P76" s="1629"/>
      <c r="Q76" s="1629"/>
      <c r="R76" s="1630"/>
      <c r="S76" s="465"/>
      <c r="T76" s="467"/>
      <c r="U76" s="467"/>
      <c r="V76" s="465"/>
      <c r="W76" s="467"/>
      <c r="X76" s="472"/>
    </row>
    <row r="77" spans="1:26" s="52" customFormat="1" ht="23.25" customHeight="1">
      <c r="A77" s="493"/>
      <c r="B77" s="494"/>
      <c r="C77" s="508" t="s">
        <v>645</v>
      </c>
      <c r="D77" s="349"/>
      <c r="E77" s="397">
        <v>5000000</v>
      </c>
      <c r="F77" s="397">
        <v>5000000</v>
      </c>
      <c r="G77" s="281">
        <f t="shared" si="3"/>
        <v>0</v>
      </c>
      <c r="H77" s="509">
        <v>0</v>
      </c>
      <c r="I77" s="1631" t="s">
        <v>646</v>
      </c>
      <c r="J77" s="1632"/>
      <c r="K77" s="1632"/>
      <c r="L77" s="1632"/>
      <c r="M77" s="1632"/>
      <c r="N77" s="1632"/>
      <c r="O77" s="1632"/>
      <c r="P77" s="1632"/>
      <c r="Q77" s="1632"/>
      <c r="R77" s="1633"/>
      <c r="S77" s="503">
        <v>5000000</v>
      </c>
      <c r="T77" s="467"/>
      <c r="U77" s="467"/>
      <c r="V77" s="465"/>
      <c r="W77" s="467"/>
      <c r="X77" s="472"/>
    </row>
    <row r="78" spans="1:26" s="52" customFormat="1" ht="19.5" hidden="1" customHeight="1">
      <c r="A78" s="493"/>
      <c r="B78" s="494"/>
      <c r="C78" s="494" t="s">
        <v>464</v>
      </c>
      <c r="D78" s="510"/>
      <c r="E78" s="511">
        <v>0</v>
      </c>
      <c r="F78" s="511">
        <v>0</v>
      </c>
      <c r="G78" s="512">
        <f t="shared" si="3"/>
        <v>0</v>
      </c>
      <c r="H78" s="513">
        <f>F78/F6*100</f>
        <v>0</v>
      </c>
      <c r="I78" s="1634"/>
      <c r="J78" s="1635"/>
      <c r="K78" s="1635"/>
      <c r="L78" s="1635"/>
      <c r="M78" s="1635"/>
      <c r="N78" s="1635"/>
      <c r="O78" s="1635"/>
      <c r="P78" s="1635"/>
      <c r="Q78" s="1635"/>
      <c r="R78" s="1636"/>
      <c r="S78" s="465"/>
      <c r="T78" s="467"/>
      <c r="U78" s="467"/>
      <c r="V78" s="467"/>
      <c r="W78" s="467"/>
      <c r="X78" s="414"/>
    </row>
    <row r="79" spans="1:26" s="52" customFormat="1" ht="19.5" hidden="1" customHeight="1">
      <c r="A79" s="493"/>
      <c r="B79" s="494"/>
      <c r="C79" s="514"/>
      <c r="D79" s="515"/>
      <c r="E79" s="511"/>
      <c r="F79" s="511"/>
      <c r="G79" s="512">
        <f t="shared" si="3"/>
        <v>0</v>
      </c>
      <c r="H79" s="513">
        <v>0</v>
      </c>
      <c r="I79" s="516"/>
      <c r="J79" s="516"/>
      <c r="K79" s="516"/>
      <c r="L79" s="516"/>
      <c r="M79" s="516"/>
      <c r="N79" s="516"/>
      <c r="O79" s="516"/>
      <c r="P79" s="516"/>
      <c r="Q79" s="516"/>
      <c r="R79" s="517"/>
      <c r="S79" s="465"/>
      <c r="T79" s="467"/>
      <c r="U79" s="467"/>
      <c r="V79" s="467"/>
      <c r="W79" s="467"/>
      <c r="X79" s="414"/>
    </row>
    <row r="80" spans="1:26" s="52" customFormat="1" ht="16.5" hidden="1" customHeight="1">
      <c r="A80" s="464"/>
      <c r="B80" s="249"/>
      <c r="C80" s="518" t="s">
        <v>647</v>
      </c>
      <c r="D80" s="519" t="s">
        <v>312</v>
      </c>
      <c r="E80" s="520">
        <v>0</v>
      </c>
      <c r="F80" s="520">
        <f>F81</f>
        <v>0</v>
      </c>
      <c r="G80" s="521">
        <f t="shared" si="3"/>
        <v>0</v>
      </c>
      <c r="H80" s="500">
        <v>0</v>
      </c>
      <c r="I80" s="1637"/>
      <c r="J80" s="1638"/>
      <c r="K80" s="1638"/>
      <c r="L80" s="1638"/>
      <c r="M80" s="1638"/>
      <c r="N80" s="1638"/>
      <c r="O80" s="1638"/>
      <c r="P80" s="1638"/>
      <c r="Q80" s="1638"/>
      <c r="R80" s="1639"/>
      <c r="S80" s="465"/>
      <c r="T80" s="467"/>
      <c r="U80" s="467"/>
      <c r="V80" s="467"/>
      <c r="W80" s="467"/>
      <c r="X80" s="414"/>
    </row>
    <row r="81" spans="1:24" s="52" customFormat="1" ht="16.5" hidden="1" customHeight="1">
      <c r="A81" s="464"/>
      <c r="B81" s="249"/>
      <c r="C81" s="267"/>
      <c r="D81" s="522" t="s">
        <v>647</v>
      </c>
      <c r="E81" s="523"/>
      <c r="F81" s="523"/>
      <c r="G81" s="284">
        <f t="shared" si="3"/>
        <v>0</v>
      </c>
      <c r="H81" s="451">
        <v>0</v>
      </c>
      <c r="I81" s="1555"/>
      <c r="J81" s="1556"/>
      <c r="K81" s="1556"/>
      <c r="L81" s="1556"/>
      <c r="M81" s="1556"/>
      <c r="N81" s="1556"/>
      <c r="O81" s="1556"/>
      <c r="P81" s="1556"/>
      <c r="Q81" s="1556"/>
      <c r="R81" s="1557"/>
      <c r="S81" s="465"/>
      <c r="T81" s="467"/>
      <c r="U81" s="467"/>
      <c r="V81" s="467"/>
      <c r="W81" s="467"/>
      <c r="X81" s="414"/>
    </row>
    <row r="82" spans="1:24" s="52" customFormat="1" ht="16.5" hidden="1" customHeight="1">
      <c r="A82" s="464"/>
      <c r="B82" s="249"/>
      <c r="C82" s="267" t="s">
        <v>648</v>
      </c>
      <c r="D82" s="524" t="s">
        <v>312</v>
      </c>
      <c r="E82" s="523">
        <v>0</v>
      </c>
      <c r="F82" s="523">
        <f>F83</f>
        <v>0</v>
      </c>
      <c r="G82" s="284">
        <f t="shared" si="3"/>
        <v>0</v>
      </c>
      <c r="H82" s="451">
        <v>0</v>
      </c>
      <c r="I82" s="1548"/>
      <c r="J82" s="1549"/>
      <c r="K82" s="1549"/>
      <c r="L82" s="1549"/>
      <c r="M82" s="1549"/>
      <c r="N82" s="1549"/>
      <c r="O82" s="1549"/>
      <c r="P82" s="1549"/>
      <c r="Q82" s="1549"/>
      <c r="R82" s="1550"/>
      <c r="S82" s="465"/>
      <c r="T82" s="467"/>
      <c r="U82" s="467"/>
      <c r="V82" s="467"/>
      <c r="W82" s="467"/>
      <c r="X82" s="414"/>
    </row>
    <row r="83" spans="1:24" s="52" customFormat="1" ht="16.5" hidden="1" customHeight="1">
      <c r="A83" s="464"/>
      <c r="B83" s="497"/>
      <c r="C83" s="267"/>
      <c r="D83" s="522" t="s">
        <v>648</v>
      </c>
      <c r="E83" s="523">
        <v>0</v>
      </c>
      <c r="F83" s="523">
        <v>0</v>
      </c>
      <c r="G83" s="284">
        <f t="shared" si="3"/>
        <v>0</v>
      </c>
      <c r="H83" s="451">
        <v>0</v>
      </c>
      <c r="I83" s="1548"/>
      <c r="J83" s="1549"/>
      <c r="K83" s="1549"/>
      <c r="L83" s="1549"/>
      <c r="M83" s="1549"/>
      <c r="N83" s="1549"/>
      <c r="O83" s="1549"/>
      <c r="P83" s="1549"/>
      <c r="Q83" s="1549"/>
      <c r="R83" s="1550"/>
      <c r="S83" s="465"/>
      <c r="T83" s="467"/>
      <c r="U83" s="467"/>
      <c r="V83" s="467"/>
      <c r="W83" s="467"/>
      <c r="X83" s="414"/>
    </row>
    <row r="84" spans="1:24" s="52" customFormat="1" ht="16.5" hidden="1" customHeight="1">
      <c r="A84" s="490" t="s">
        <v>357</v>
      </c>
      <c r="B84" s="1643" t="s">
        <v>92</v>
      </c>
      <c r="C84" s="1644"/>
      <c r="D84" s="524"/>
      <c r="E84" s="523">
        <v>0</v>
      </c>
      <c r="F84" s="523">
        <f>F85</f>
        <v>0</v>
      </c>
      <c r="G84" s="284">
        <f t="shared" si="3"/>
        <v>0</v>
      </c>
      <c r="H84" s="451">
        <v>0</v>
      </c>
      <c r="I84" s="1599"/>
      <c r="J84" s="1600"/>
      <c r="K84" s="1600"/>
      <c r="L84" s="1600"/>
      <c r="M84" s="1600"/>
      <c r="N84" s="1600"/>
      <c r="O84" s="1600"/>
      <c r="P84" s="1600"/>
      <c r="Q84" s="1600"/>
      <c r="R84" s="1601"/>
      <c r="S84" s="465"/>
      <c r="T84" s="467"/>
      <c r="U84" s="467"/>
      <c r="V84" s="467"/>
      <c r="W84" s="467"/>
      <c r="X84" s="414"/>
    </row>
    <row r="85" spans="1:24" s="52" customFormat="1" ht="16.5" hidden="1" customHeight="1">
      <c r="A85" s="457"/>
      <c r="B85" s="233" t="s">
        <v>357</v>
      </c>
      <c r="C85" s="267" t="s">
        <v>312</v>
      </c>
      <c r="D85" s="524"/>
      <c r="E85" s="523">
        <v>0</v>
      </c>
      <c r="F85" s="523">
        <f>F86</f>
        <v>0</v>
      </c>
      <c r="G85" s="284">
        <f t="shared" si="3"/>
        <v>0</v>
      </c>
      <c r="H85" s="451">
        <v>0</v>
      </c>
      <c r="I85" s="1599"/>
      <c r="J85" s="1600"/>
      <c r="K85" s="1600"/>
      <c r="L85" s="1600"/>
      <c r="M85" s="1600"/>
      <c r="N85" s="1600"/>
      <c r="O85" s="1600"/>
      <c r="P85" s="1600"/>
      <c r="Q85" s="1600"/>
      <c r="R85" s="1601"/>
      <c r="S85" s="465"/>
      <c r="T85" s="467"/>
      <c r="U85" s="467"/>
      <c r="V85" s="467"/>
      <c r="W85" s="467"/>
      <c r="X85" s="414"/>
    </row>
    <row r="86" spans="1:24" s="52" customFormat="1" ht="16.5" hidden="1" customHeight="1">
      <c r="A86" s="489"/>
      <c r="B86" s="233"/>
      <c r="C86" s="267" t="s">
        <v>357</v>
      </c>
      <c r="D86" s="524"/>
      <c r="E86" s="523">
        <v>0</v>
      </c>
      <c r="F86" s="523">
        <v>0</v>
      </c>
      <c r="G86" s="284">
        <f t="shared" si="3"/>
        <v>0</v>
      </c>
      <c r="H86" s="451">
        <v>0</v>
      </c>
      <c r="I86" s="1599"/>
      <c r="J86" s="1600"/>
      <c r="K86" s="1600"/>
      <c r="L86" s="1600"/>
      <c r="M86" s="1600"/>
      <c r="N86" s="1600"/>
      <c r="O86" s="1600"/>
      <c r="P86" s="1600"/>
      <c r="Q86" s="1600"/>
      <c r="R86" s="1601"/>
      <c r="S86" s="465"/>
      <c r="T86" s="467"/>
      <c r="U86" s="467"/>
      <c r="V86" s="467"/>
      <c r="W86" s="467"/>
      <c r="X86" s="414"/>
    </row>
    <row r="87" spans="1:24" ht="16.5" hidden="1" customHeight="1">
      <c r="A87" s="449" t="s">
        <v>360</v>
      </c>
      <c r="B87" s="1643" t="s">
        <v>309</v>
      </c>
      <c r="C87" s="1644"/>
      <c r="D87" s="524"/>
      <c r="E87" s="523">
        <v>0</v>
      </c>
      <c r="F87" s="523">
        <f>F88</f>
        <v>0</v>
      </c>
      <c r="G87" s="284">
        <f t="shared" si="3"/>
        <v>0</v>
      </c>
      <c r="H87" s="451">
        <f>F87/F6*100</f>
        <v>0</v>
      </c>
      <c r="I87" s="1578"/>
      <c r="J87" s="1578"/>
      <c r="K87" s="1578"/>
      <c r="L87" s="1578"/>
      <c r="M87" s="1578"/>
      <c r="N87" s="1578"/>
      <c r="O87" s="1578"/>
      <c r="P87" s="1578"/>
      <c r="Q87" s="1578"/>
      <c r="R87" s="1579"/>
      <c r="S87" s="465"/>
      <c r="T87" s="467"/>
      <c r="U87" s="467"/>
      <c r="V87" s="467"/>
      <c r="W87" s="467"/>
      <c r="X87" s="468"/>
    </row>
    <row r="88" spans="1:24" ht="16.5" hidden="1" customHeight="1">
      <c r="A88" s="457"/>
      <c r="B88" s="233" t="s">
        <v>360</v>
      </c>
      <c r="C88" s="267" t="s">
        <v>312</v>
      </c>
      <c r="D88" s="194"/>
      <c r="E88" s="525">
        <v>0</v>
      </c>
      <c r="F88" s="525">
        <f>F89</f>
        <v>0</v>
      </c>
      <c r="G88" s="284">
        <f t="shared" si="3"/>
        <v>0</v>
      </c>
      <c r="H88" s="451">
        <f>F88/F6*100</f>
        <v>0</v>
      </c>
      <c r="I88" s="1578"/>
      <c r="J88" s="1578"/>
      <c r="K88" s="1578"/>
      <c r="L88" s="1578"/>
      <c r="M88" s="1578"/>
      <c r="N88" s="1578"/>
      <c r="O88" s="1578"/>
      <c r="P88" s="1578"/>
      <c r="Q88" s="1578"/>
      <c r="R88" s="1579"/>
      <c r="S88" s="465"/>
      <c r="T88" s="467"/>
      <c r="U88" s="467"/>
      <c r="V88" s="467"/>
      <c r="W88" s="467"/>
      <c r="X88" s="468"/>
    </row>
    <row r="89" spans="1:24" ht="16.5" hidden="1" customHeight="1">
      <c r="A89" s="489"/>
      <c r="B89" s="247"/>
      <c r="C89" s="267" t="s">
        <v>360</v>
      </c>
      <c r="D89" s="194"/>
      <c r="E89" s="525">
        <v>0</v>
      </c>
      <c r="F89" s="525">
        <v>0</v>
      </c>
      <c r="G89" s="284">
        <f t="shared" si="3"/>
        <v>0</v>
      </c>
      <c r="H89" s="451">
        <f>F89/F6*100</f>
        <v>0</v>
      </c>
      <c r="I89" s="1578"/>
      <c r="J89" s="1578"/>
      <c r="K89" s="1578"/>
      <c r="L89" s="1578"/>
      <c r="M89" s="1578"/>
      <c r="N89" s="1578"/>
      <c r="O89" s="1578"/>
      <c r="P89" s="1578"/>
      <c r="Q89" s="1578"/>
      <c r="R89" s="1579"/>
      <c r="S89" s="465"/>
      <c r="T89" s="467"/>
      <c r="U89" s="467"/>
      <c r="V89" s="467"/>
      <c r="W89" s="467"/>
      <c r="X89" s="468"/>
    </row>
    <row r="90" spans="1:24" ht="16.5" hidden="1" customHeight="1">
      <c r="A90" s="449" t="s">
        <v>649</v>
      </c>
      <c r="B90" s="1643" t="s">
        <v>309</v>
      </c>
      <c r="C90" s="1644"/>
      <c r="D90" s="524"/>
      <c r="E90" s="523">
        <v>0</v>
      </c>
      <c r="F90" s="523">
        <f>F91</f>
        <v>0</v>
      </c>
      <c r="G90" s="284">
        <f t="shared" si="3"/>
        <v>0</v>
      </c>
      <c r="H90" s="451">
        <f>F90/F6*100</f>
        <v>0</v>
      </c>
      <c r="I90" s="1599"/>
      <c r="J90" s="1600"/>
      <c r="K90" s="1600"/>
      <c r="L90" s="1600"/>
      <c r="M90" s="1600"/>
      <c r="N90" s="1600"/>
      <c r="O90" s="1600"/>
      <c r="P90" s="1600"/>
      <c r="Q90" s="1600"/>
      <c r="R90" s="1601"/>
      <c r="S90" s="465"/>
      <c r="T90" s="467"/>
      <c r="U90" s="467"/>
      <c r="V90" s="467"/>
      <c r="W90" s="467"/>
      <c r="X90" s="468"/>
    </row>
    <row r="91" spans="1:24" ht="16.5" hidden="1" customHeight="1">
      <c r="A91" s="457"/>
      <c r="B91" s="233" t="s">
        <v>649</v>
      </c>
      <c r="C91" s="267" t="s">
        <v>312</v>
      </c>
      <c r="D91" s="524"/>
      <c r="E91" s="523">
        <v>0</v>
      </c>
      <c r="F91" s="523">
        <f>F92</f>
        <v>0</v>
      </c>
      <c r="G91" s="284">
        <f t="shared" si="3"/>
        <v>0</v>
      </c>
      <c r="H91" s="451">
        <f>F91/F6*100</f>
        <v>0</v>
      </c>
      <c r="I91" s="1599"/>
      <c r="J91" s="1600"/>
      <c r="K91" s="1600"/>
      <c r="L91" s="1600"/>
      <c r="M91" s="1600"/>
      <c r="N91" s="1600"/>
      <c r="O91" s="1600"/>
      <c r="P91" s="1600"/>
      <c r="Q91" s="1600"/>
      <c r="R91" s="1601"/>
      <c r="S91" s="465"/>
      <c r="T91" s="467"/>
      <c r="U91" s="467"/>
      <c r="V91" s="467"/>
      <c r="W91" s="467"/>
      <c r="X91" s="468"/>
    </row>
    <row r="92" spans="1:24" ht="16.5" hidden="1" customHeight="1">
      <c r="A92" s="493"/>
      <c r="B92" s="349"/>
      <c r="C92" s="508" t="s">
        <v>649</v>
      </c>
      <c r="D92" s="526"/>
      <c r="E92" s="527"/>
      <c r="F92" s="527"/>
      <c r="G92" s="528">
        <f t="shared" si="3"/>
        <v>0</v>
      </c>
      <c r="H92" s="509">
        <f>F92/F6*100</f>
        <v>0</v>
      </c>
      <c r="I92" s="1640"/>
      <c r="J92" s="1641"/>
      <c r="K92" s="1641"/>
      <c r="L92" s="1641"/>
      <c r="M92" s="1641"/>
      <c r="N92" s="1641"/>
      <c r="O92" s="1641"/>
      <c r="P92" s="1641"/>
      <c r="Q92" s="1641"/>
      <c r="R92" s="1642"/>
      <c r="S92" s="465"/>
      <c r="T92" s="467"/>
      <c r="U92" s="467"/>
      <c r="V92" s="467"/>
      <c r="W92" s="467"/>
      <c r="X92" s="468"/>
    </row>
    <row r="93" spans="1:24">
      <c r="B93" s="83"/>
      <c r="C93" s="83"/>
      <c r="E93" s="208"/>
      <c r="S93" s="479"/>
      <c r="T93" s="470"/>
      <c r="U93" s="470"/>
      <c r="V93" s="470"/>
      <c r="W93" s="529"/>
    </row>
    <row r="94" spans="1:24">
      <c r="B94" s="83"/>
      <c r="C94" s="83"/>
      <c r="S94" s="479"/>
      <c r="T94" s="470"/>
      <c r="U94" s="470"/>
      <c r="V94" s="470"/>
      <c r="W94" s="529"/>
    </row>
    <row r="95" spans="1:24">
      <c r="B95" s="83"/>
      <c r="C95" s="83"/>
      <c r="V95" s="470"/>
      <c r="W95" s="529"/>
    </row>
    <row r="96" spans="1:24">
      <c r="B96" s="83"/>
      <c r="C96" s="83"/>
      <c r="V96" s="470"/>
      <c r="W96" s="529"/>
    </row>
    <row r="97" spans="2:23">
      <c r="B97" s="83"/>
      <c r="C97" s="83"/>
      <c r="V97" s="470"/>
      <c r="W97" s="529"/>
    </row>
    <row r="98" spans="2:23">
      <c r="B98" s="83"/>
      <c r="C98" s="83"/>
      <c r="V98" s="470"/>
      <c r="W98" s="529"/>
    </row>
    <row r="99" spans="2:23">
      <c r="B99" s="83"/>
      <c r="C99" s="83"/>
    </row>
    <row r="100" spans="2:23">
      <c r="B100" s="83"/>
      <c r="C100" s="83"/>
    </row>
    <row r="101" spans="2:23">
      <c r="B101" s="83"/>
      <c r="C101" s="83"/>
    </row>
    <row r="102" spans="2:23">
      <c r="B102" s="83"/>
      <c r="C102" s="83"/>
    </row>
    <row r="103" spans="2:23">
      <c r="B103" s="83"/>
      <c r="C103" s="83"/>
    </row>
    <row r="104" spans="2:23">
      <c r="B104" s="83"/>
      <c r="C104" s="83"/>
    </row>
    <row r="105" spans="2:23">
      <c r="B105" s="83"/>
      <c r="C105" s="83"/>
    </row>
    <row r="106" spans="2:23">
      <c r="B106" s="83"/>
      <c r="C106" s="83"/>
    </row>
    <row r="107" spans="2:23">
      <c r="B107" s="83"/>
      <c r="C107" s="83"/>
    </row>
    <row r="108" spans="2:23">
      <c r="B108" s="83"/>
      <c r="C108" s="83"/>
    </row>
    <row r="109" spans="2:23">
      <c r="B109" s="83"/>
      <c r="C109" s="83"/>
    </row>
    <row r="110" spans="2:23">
      <c r="B110" s="83"/>
      <c r="C110" s="83"/>
    </row>
    <row r="111" spans="2:23">
      <c r="B111" s="83"/>
      <c r="C111" s="83"/>
    </row>
    <row r="112" spans="2:23">
      <c r="B112" s="83"/>
      <c r="C112" s="83"/>
    </row>
    <row r="113" spans="2:3">
      <c r="B113" s="83"/>
      <c r="C113" s="83"/>
    </row>
    <row r="114" spans="2:3">
      <c r="B114" s="83"/>
      <c r="C114" s="83"/>
    </row>
    <row r="115" spans="2:3">
      <c r="B115" s="83"/>
      <c r="C115" s="83"/>
    </row>
    <row r="116" spans="2:3">
      <c r="B116" s="83"/>
      <c r="C116" s="83"/>
    </row>
    <row r="117" spans="2:3">
      <c r="B117" s="83"/>
      <c r="C117" s="83"/>
    </row>
    <row r="118" spans="2:3">
      <c r="B118" s="83"/>
      <c r="C118" s="83"/>
    </row>
    <row r="119" spans="2:3">
      <c r="B119" s="83"/>
      <c r="C119" s="83"/>
    </row>
    <row r="120" spans="2:3">
      <c r="B120" s="83"/>
      <c r="C120" s="83"/>
    </row>
    <row r="121" spans="2:3">
      <c r="B121" s="83"/>
      <c r="C121" s="83"/>
    </row>
    <row r="122" spans="2:3">
      <c r="B122" s="83"/>
      <c r="C122" s="83"/>
    </row>
    <row r="123" spans="2:3">
      <c r="B123" s="83"/>
      <c r="C123" s="83"/>
    </row>
  </sheetData>
  <mergeCells count="99">
    <mergeCell ref="I92:R92"/>
    <mergeCell ref="B84:C84"/>
    <mergeCell ref="I84:R84"/>
    <mergeCell ref="I85:R85"/>
    <mergeCell ref="I86:R86"/>
    <mergeCell ref="B87:C87"/>
    <mergeCell ref="I87:R87"/>
    <mergeCell ref="I88:R88"/>
    <mergeCell ref="I89:R89"/>
    <mergeCell ref="B90:C90"/>
    <mergeCell ref="I90:R90"/>
    <mergeCell ref="I91:R91"/>
    <mergeCell ref="I83:R83"/>
    <mergeCell ref="I71:R71"/>
    <mergeCell ref="I72:R72"/>
    <mergeCell ref="I73:R73"/>
    <mergeCell ref="I74:R74"/>
    <mergeCell ref="I75:R75"/>
    <mergeCell ref="I76:R76"/>
    <mergeCell ref="I77:R77"/>
    <mergeCell ref="I78:R78"/>
    <mergeCell ref="I80:R80"/>
    <mergeCell ref="I81:R81"/>
    <mergeCell ref="I82:R82"/>
    <mergeCell ref="I70:R70"/>
    <mergeCell ref="I59:R59"/>
    <mergeCell ref="I60:R60"/>
    <mergeCell ref="I61:R61"/>
    <mergeCell ref="I62:R62"/>
    <mergeCell ref="I63:R63"/>
    <mergeCell ref="I64:R64"/>
    <mergeCell ref="I65:R65"/>
    <mergeCell ref="I66:R66"/>
    <mergeCell ref="I67:R67"/>
    <mergeCell ref="I68:R68"/>
    <mergeCell ref="I69:R69"/>
    <mergeCell ref="I58:R58"/>
    <mergeCell ref="I47:R47"/>
    <mergeCell ref="I48:R48"/>
    <mergeCell ref="I49:R49"/>
    <mergeCell ref="I50:R50"/>
    <mergeCell ref="I51:R51"/>
    <mergeCell ref="I52:R52"/>
    <mergeCell ref="I53:R53"/>
    <mergeCell ref="I54:R54"/>
    <mergeCell ref="I55:R55"/>
    <mergeCell ref="I56:R56"/>
    <mergeCell ref="I57:R57"/>
    <mergeCell ref="I46:R46"/>
    <mergeCell ref="I35:R35"/>
    <mergeCell ref="I36:R36"/>
    <mergeCell ref="I37:R37"/>
    <mergeCell ref="I38:R38"/>
    <mergeCell ref="I39:R39"/>
    <mergeCell ref="I40:R40"/>
    <mergeCell ref="I41:R41"/>
    <mergeCell ref="I42:R42"/>
    <mergeCell ref="I43:R43"/>
    <mergeCell ref="I44:R44"/>
    <mergeCell ref="I45:R45"/>
    <mergeCell ref="I34:R34"/>
    <mergeCell ref="I23:R23"/>
    <mergeCell ref="I24:R24"/>
    <mergeCell ref="I25:R25"/>
    <mergeCell ref="I26:R26"/>
    <mergeCell ref="I27:R27"/>
    <mergeCell ref="I28:R28"/>
    <mergeCell ref="I29:R29"/>
    <mergeCell ref="I30:R30"/>
    <mergeCell ref="I31:R31"/>
    <mergeCell ref="I32:R32"/>
    <mergeCell ref="I33:R33"/>
    <mergeCell ref="I22:R22"/>
    <mergeCell ref="I11:R11"/>
    <mergeCell ref="I12:R12"/>
    <mergeCell ref="I13:R13"/>
    <mergeCell ref="I14:R14"/>
    <mergeCell ref="I15:R15"/>
    <mergeCell ref="I16:R16"/>
    <mergeCell ref="I17:R17"/>
    <mergeCell ref="I18:R18"/>
    <mergeCell ref="I19:R19"/>
    <mergeCell ref="I20:R20"/>
    <mergeCell ref="I21:R21"/>
    <mergeCell ref="I10:R10"/>
    <mergeCell ref="I1:R1"/>
    <mergeCell ref="A2:C2"/>
    <mergeCell ref="I2:R2"/>
    <mergeCell ref="I3:R3"/>
    <mergeCell ref="A4:D4"/>
    <mergeCell ref="E4:E5"/>
    <mergeCell ref="F4:F5"/>
    <mergeCell ref="G4:H4"/>
    <mergeCell ref="I4:R5"/>
    <mergeCell ref="A6:C6"/>
    <mergeCell ref="I6:R6"/>
    <mergeCell ref="I7:R7"/>
    <mergeCell ref="I8:R8"/>
    <mergeCell ref="I9:R9"/>
  </mergeCells>
  <phoneticPr fontId="7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98"/>
  <sheetViews>
    <sheetView topLeftCell="A11" workbookViewId="0">
      <selection activeCell="AC42" sqref="AC42"/>
    </sheetView>
  </sheetViews>
  <sheetFormatPr defaultRowHeight="13.5"/>
  <cols>
    <col min="1" max="1" width="7.375" style="52" customWidth="1"/>
    <col min="2" max="2" width="8.375" style="52" customWidth="1"/>
    <col min="3" max="3" width="10.375" style="52" customWidth="1"/>
    <col min="4" max="4" width="9.5" style="52" customWidth="1"/>
    <col min="5" max="5" width="12.875" style="52" customWidth="1"/>
    <col min="6" max="6" width="12.75" style="124" customWidth="1"/>
    <col min="7" max="7" width="13.125" style="415" customWidth="1"/>
    <col min="8" max="8" width="7.5" style="573" customWidth="1"/>
    <col min="9" max="9" width="4.125" style="52" customWidth="1"/>
    <col min="10" max="10" width="4.5" style="52" customWidth="1"/>
    <col min="11" max="11" width="3.625" style="52" customWidth="1"/>
    <col min="12" max="12" width="4.5" style="52" customWidth="1"/>
    <col min="13" max="13" width="1.875" style="52" customWidth="1"/>
    <col min="14" max="14" width="6.125" style="52" bestFit="1" customWidth="1"/>
    <col min="15" max="15" width="2.25" style="52" customWidth="1"/>
    <col min="16" max="17" width="1.625" style="52" customWidth="1"/>
    <col min="18" max="18" width="1.75" style="52" customWidth="1"/>
    <col min="19" max="19" width="10" style="123" hidden="1" customWidth="1"/>
    <col min="20" max="21" width="13.125" style="574" hidden="1" customWidth="1"/>
    <col min="22" max="22" width="16.25" style="123" hidden="1" customWidth="1"/>
    <col min="23" max="23" width="10" style="123" hidden="1" customWidth="1"/>
    <col min="24" max="24" width="14.875" style="123" hidden="1" customWidth="1"/>
    <col min="25" max="16384" width="9" style="123"/>
  </cols>
  <sheetData>
    <row r="1" spans="1:24" s="55" customFormat="1" ht="37.5" customHeight="1">
      <c r="A1" s="326" t="s">
        <v>506</v>
      </c>
      <c r="B1" s="326"/>
      <c r="C1" s="326"/>
      <c r="D1" s="53"/>
      <c r="E1" s="53"/>
      <c r="F1" s="51"/>
      <c r="G1" s="430"/>
      <c r="H1" s="531"/>
      <c r="I1" s="1580"/>
      <c r="J1" s="1580"/>
      <c r="K1" s="1580"/>
      <c r="L1" s="1580"/>
      <c r="M1" s="1580"/>
      <c r="N1" s="1580"/>
      <c r="O1" s="1580"/>
      <c r="P1" s="1580"/>
      <c r="Q1" s="1580"/>
      <c r="R1" s="1580"/>
      <c r="T1" s="532"/>
      <c r="U1" s="532"/>
    </row>
    <row r="2" spans="1:24" s="55" customFormat="1" ht="23.25" customHeight="1">
      <c r="A2" s="1581" t="s">
        <v>650</v>
      </c>
      <c r="B2" s="1581"/>
      <c r="C2" s="1582"/>
      <c r="D2" s="123"/>
      <c r="E2" s="53"/>
      <c r="F2" s="51"/>
      <c r="G2" s="430"/>
      <c r="H2" s="531"/>
      <c r="I2" s="1580"/>
      <c r="J2" s="1580"/>
      <c r="K2" s="1580"/>
      <c r="L2" s="1580"/>
      <c r="M2" s="1580"/>
      <c r="N2" s="1580"/>
      <c r="O2" s="1580"/>
      <c r="P2" s="1580"/>
      <c r="Q2" s="1580"/>
      <c r="R2" s="1580"/>
      <c r="S2" s="433"/>
      <c r="T2" s="533"/>
      <c r="U2" s="533"/>
      <c r="V2" s="433"/>
      <c r="W2" s="433"/>
    </row>
    <row r="3" spans="1:24" s="314" customFormat="1" ht="18" customHeight="1">
      <c r="A3" s="53"/>
      <c r="B3" s="53"/>
      <c r="C3" s="53"/>
      <c r="D3" s="53"/>
      <c r="E3" s="53"/>
      <c r="F3" s="51"/>
      <c r="G3" s="430"/>
      <c r="H3" s="531"/>
      <c r="I3" s="1583" t="s">
        <v>298</v>
      </c>
      <c r="J3" s="1583"/>
      <c r="K3" s="1583"/>
      <c r="L3" s="1583"/>
      <c r="M3" s="1583"/>
      <c r="N3" s="1583"/>
      <c r="O3" s="1583"/>
      <c r="P3" s="1583"/>
      <c r="Q3" s="1583"/>
      <c r="R3" s="1583"/>
      <c r="S3" s="534"/>
      <c r="T3" s="535">
        <f>T6/V6</f>
        <v>0.64279442302749934</v>
      </c>
      <c r="U3" s="535">
        <f>U6/V6</f>
        <v>0.35720557697250066</v>
      </c>
      <c r="V3" s="536">
        <f>SUM(T3:U3)</f>
        <v>1</v>
      </c>
      <c r="W3" s="534"/>
    </row>
    <row r="4" spans="1:24" s="286" customFormat="1" ht="24.75" customHeight="1">
      <c r="A4" s="1512" t="s">
        <v>301</v>
      </c>
      <c r="B4" s="1513"/>
      <c r="C4" s="1513"/>
      <c r="D4" s="1514"/>
      <c r="E4" s="1515" t="str">
        <f>'[1]라-2.자부담세출'!E4:E5</f>
        <v>당초예산
( A )</v>
      </c>
      <c r="F4" s="1517" t="str">
        <f>'[1]라-2.자부담세출'!F4:F5</f>
        <v>1차추경
( B )</v>
      </c>
      <c r="G4" s="1584" t="s">
        <v>480</v>
      </c>
      <c r="H4" s="1584"/>
      <c r="I4" s="1585" t="s">
        <v>508</v>
      </c>
      <c r="J4" s="1585"/>
      <c r="K4" s="1585"/>
      <c r="L4" s="1585"/>
      <c r="M4" s="1585"/>
      <c r="N4" s="1585"/>
      <c r="O4" s="1585"/>
      <c r="P4" s="1585"/>
      <c r="Q4" s="1585"/>
      <c r="R4" s="1586"/>
      <c r="S4" s="537"/>
      <c r="T4" s="538" t="s">
        <v>651</v>
      </c>
      <c r="U4" s="538" t="s">
        <v>652</v>
      </c>
      <c r="V4" s="537" t="s">
        <v>309</v>
      </c>
      <c r="W4" s="537"/>
    </row>
    <row r="5" spans="1:24" s="286" customFormat="1" ht="24.75" customHeight="1" thickBot="1">
      <c r="A5" s="287" t="s">
        <v>1</v>
      </c>
      <c r="B5" s="64" t="s">
        <v>2</v>
      </c>
      <c r="C5" s="64" t="s">
        <v>3</v>
      </c>
      <c r="D5" s="64" t="s">
        <v>501</v>
      </c>
      <c r="E5" s="1516"/>
      <c r="F5" s="1518"/>
      <c r="G5" s="440" t="s">
        <v>305</v>
      </c>
      <c r="H5" s="441" t="s">
        <v>306</v>
      </c>
      <c r="I5" s="1587"/>
      <c r="J5" s="1587"/>
      <c r="K5" s="1587"/>
      <c r="L5" s="1587"/>
      <c r="M5" s="1587"/>
      <c r="N5" s="1587"/>
      <c r="O5" s="1587"/>
      <c r="P5" s="1587"/>
      <c r="Q5" s="1587"/>
      <c r="R5" s="1588"/>
      <c r="S5" s="537"/>
      <c r="T5" s="538"/>
      <c r="U5" s="538"/>
      <c r="V5" s="537"/>
      <c r="W5" s="537"/>
    </row>
    <row r="6" spans="1:24" s="286" customFormat="1" ht="21.75" customHeight="1" thickTop="1">
      <c r="A6" s="1589" t="s">
        <v>511</v>
      </c>
      <c r="B6" s="1590"/>
      <c r="C6" s="1590"/>
      <c r="D6" s="444"/>
      <c r="E6" s="367">
        <v>380700000</v>
      </c>
      <c r="F6" s="367">
        <f>F7+F47+F52+F92+F89</f>
        <v>401500000</v>
      </c>
      <c r="G6" s="290">
        <f>G7+G47+G52+G92+G89</f>
        <v>20800000</v>
      </c>
      <c r="H6" s="539">
        <f>G6/E6*100</f>
        <v>5.4636196480168113</v>
      </c>
      <c r="I6" s="1645"/>
      <c r="J6" s="1645"/>
      <c r="K6" s="1645"/>
      <c r="L6" s="1645"/>
      <c r="M6" s="1645"/>
      <c r="N6" s="1645"/>
      <c r="O6" s="1645"/>
      <c r="P6" s="1645"/>
      <c r="Q6" s="1645"/>
      <c r="R6" s="1646"/>
      <c r="S6" s="537"/>
      <c r="T6" s="538">
        <f>SUM(T8,T43,T44,T45,T51,T52)</f>
        <v>250111310</v>
      </c>
      <c r="U6" s="538">
        <f>SUM(U39,U40,U44,U46,U50,U89)</f>
        <v>138988690</v>
      </c>
      <c r="V6" s="540">
        <f>SUM(T6:U6)</f>
        <v>389100000</v>
      </c>
      <c r="W6" s="537"/>
    </row>
    <row r="7" spans="1:24" ht="21.75" customHeight="1">
      <c r="A7" s="541" t="s">
        <v>310</v>
      </c>
      <c r="B7" s="1647" t="s">
        <v>309</v>
      </c>
      <c r="C7" s="1648"/>
      <c r="D7" s="542"/>
      <c r="E7" s="543">
        <v>172220000</v>
      </c>
      <c r="F7" s="543">
        <f>F8+F33+F38</f>
        <v>150959895</v>
      </c>
      <c r="G7" s="301">
        <f>G8+G33+G38</f>
        <v>-21260105</v>
      </c>
      <c r="H7" s="544">
        <f>G7/E7*100</f>
        <v>-12.344736383695274</v>
      </c>
      <c r="I7" s="1649"/>
      <c r="J7" s="1649"/>
      <c r="K7" s="1649"/>
      <c r="L7" s="1649"/>
      <c r="M7" s="1649"/>
      <c r="N7" s="1649"/>
      <c r="O7" s="1649"/>
      <c r="P7" s="1649"/>
      <c r="Q7" s="1649"/>
      <c r="R7" s="1650"/>
      <c r="S7" s="468"/>
      <c r="T7" s="545"/>
      <c r="U7" s="545"/>
      <c r="V7" s="546">
        <f>'[1]다-3.후원금세입'!E6-'[1]라-3.후원금세출'!F6</f>
        <v>0</v>
      </c>
      <c r="W7" s="468"/>
      <c r="X7" s="472"/>
    </row>
    <row r="8" spans="1:24" ht="21.75" customHeight="1">
      <c r="A8" s="457"/>
      <c r="B8" s="267" t="s">
        <v>313</v>
      </c>
      <c r="C8" s="233" t="s">
        <v>312</v>
      </c>
      <c r="D8" s="233"/>
      <c r="E8" s="377">
        <v>50705030</v>
      </c>
      <c r="F8" s="377">
        <f>F9+F10+F11+F12+F26+F27+F32</f>
        <v>38011310</v>
      </c>
      <c r="G8" s="280">
        <f>F8-E8</f>
        <v>-12693720</v>
      </c>
      <c r="H8" s="547">
        <f t="shared" ref="H8:H71" si="0">G8/E8*100</f>
        <v>-25.034439384021663</v>
      </c>
      <c r="I8" s="1651"/>
      <c r="J8" s="1651"/>
      <c r="K8" s="1651"/>
      <c r="L8" s="1651"/>
      <c r="M8" s="1651"/>
      <c r="N8" s="1651"/>
      <c r="O8" s="1651"/>
      <c r="P8" s="1651"/>
      <c r="Q8" s="1651"/>
      <c r="R8" s="1652"/>
      <c r="S8" s="468"/>
      <c r="T8" s="545">
        <f>F8</f>
        <v>38011310</v>
      </c>
      <c r="U8" s="545"/>
      <c r="V8" s="468"/>
      <c r="W8" s="468"/>
      <c r="X8" s="43">
        <f>'[1]다-3.후원금세입'!E6</f>
        <v>401500000</v>
      </c>
    </row>
    <row r="9" spans="1:24" ht="21.75" customHeight="1">
      <c r="A9" s="464"/>
      <c r="B9" s="247"/>
      <c r="C9" s="233" t="s">
        <v>75</v>
      </c>
      <c r="D9" s="233"/>
      <c r="E9" s="377">
        <v>10000000</v>
      </c>
      <c r="F9" s="377">
        <v>3000000</v>
      </c>
      <c r="G9" s="280">
        <f t="shared" ref="G9:G72" si="1">F9-E9</f>
        <v>-7000000</v>
      </c>
      <c r="H9" s="547">
        <f t="shared" si="0"/>
        <v>-70</v>
      </c>
      <c r="I9" s="1651"/>
      <c r="J9" s="1651"/>
      <c r="K9" s="1651"/>
      <c r="L9" s="1651"/>
      <c r="M9" s="1651"/>
      <c r="N9" s="1651"/>
      <c r="O9" s="1651"/>
      <c r="P9" s="1651"/>
      <c r="Q9" s="1651"/>
      <c r="R9" s="1652"/>
      <c r="S9" s="468"/>
      <c r="T9" s="545"/>
      <c r="U9" s="545"/>
      <c r="V9" s="468"/>
      <c r="W9" s="468"/>
      <c r="X9" s="472">
        <f>X8-F6</f>
        <v>0</v>
      </c>
    </row>
    <row r="10" spans="1:24" ht="21.75" hidden="1" customHeight="1">
      <c r="A10" s="464"/>
      <c r="B10" s="249"/>
      <c r="C10" s="233" t="s">
        <v>595</v>
      </c>
      <c r="D10" s="233"/>
      <c r="E10" s="377">
        <v>0</v>
      </c>
      <c r="F10" s="377">
        <f>'[1]인건비총계표(후원금)'!G49+'[1]인건비총계표(후원금)'!J49+'[1]인건비총계표(후원금)'!H49</f>
        <v>0</v>
      </c>
      <c r="G10" s="280">
        <f t="shared" si="1"/>
        <v>0</v>
      </c>
      <c r="H10" s="547" t="e">
        <f t="shared" si="0"/>
        <v>#DIV/0!</v>
      </c>
      <c r="I10" s="1651"/>
      <c r="J10" s="1651"/>
      <c r="K10" s="1651"/>
      <c r="L10" s="1651"/>
      <c r="M10" s="1651"/>
      <c r="N10" s="1651"/>
      <c r="O10" s="1651"/>
      <c r="P10" s="1651"/>
      <c r="Q10" s="1651"/>
      <c r="R10" s="1652"/>
      <c r="S10" s="468"/>
      <c r="T10" s="545"/>
      <c r="U10" s="545"/>
      <c r="V10" s="468"/>
      <c r="W10" s="468"/>
    </row>
    <row r="11" spans="1:24" ht="21.75" customHeight="1">
      <c r="A11" s="464"/>
      <c r="B11" s="249"/>
      <c r="C11" s="233" t="s">
        <v>596</v>
      </c>
      <c r="D11" s="233"/>
      <c r="E11" s="377">
        <v>9600000</v>
      </c>
      <c r="F11" s="377">
        <v>9600000</v>
      </c>
      <c r="G11" s="280">
        <f t="shared" si="1"/>
        <v>0</v>
      </c>
      <c r="H11" s="547">
        <f t="shared" si="0"/>
        <v>0</v>
      </c>
      <c r="I11" s="1651" t="s">
        <v>653</v>
      </c>
      <c r="J11" s="1651"/>
      <c r="K11" s="1651"/>
      <c r="L11" s="1651"/>
      <c r="M11" s="1651"/>
      <c r="N11" s="1651"/>
      <c r="O11" s="1651"/>
      <c r="P11" s="1651"/>
      <c r="Q11" s="1651"/>
      <c r="R11" s="1652"/>
      <c r="S11" s="468"/>
      <c r="T11" s="545"/>
      <c r="U11" s="545"/>
      <c r="V11" s="468"/>
      <c r="W11" s="468"/>
      <c r="X11" s="472">
        <f>X8-F6</f>
        <v>0</v>
      </c>
    </row>
    <row r="12" spans="1:24" ht="21.75" hidden="1" customHeight="1">
      <c r="A12" s="464"/>
      <c r="B12" s="249"/>
      <c r="C12" s="233" t="s">
        <v>63</v>
      </c>
      <c r="D12" s="233" t="s">
        <v>312</v>
      </c>
      <c r="E12" s="377">
        <v>0</v>
      </c>
      <c r="F12" s="377">
        <f>SUM(F13:F25)</f>
        <v>0</v>
      </c>
      <c r="G12" s="280">
        <f t="shared" si="1"/>
        <v>0</v>
      </c>
      <c r="H12" s="547" t="e">
        <f t="shared" si="0"/>
        <v>#DIV/0!</v>
      </c>
      <c r="I12" s="1651"/>
      <c r="J12" s="1651"/>
      <c r="K12" s="1651"/>
      <c r="L12" s="1651"/>
      <c r="M12" s="1651"/>
      <c r="N12" s="1651"/>
      <c r="O12" s="1651"/>
      <c r="P12" s="1651"/>
      <c r="Q12" s="1651"/>
      <c r="R12" s="1652"/>
      <c r="S12" s="468"/>
      <c r="T12" s="545"/>
      <c r="U12" s="545"/>
      <c r="V12" s="468"/>
      <c r="W12" s="468"/>
    </row>
    <row r="13" spans="1:24" ht="15.75" hidden="1" customHeight="1">
      <c r="A13" s="464"/>
      <c r="B13" s="249"/>
      <c r="C13" s="247"/>
      <c r="D13" s="233" t="s">
        <v>597</v>
      </c>
      <c r="E13" s="377">
        <v>0</v>
      </c>
      <c r="F13" s="377">
        <f>'[1]인건비총계표(후원금)'!K49</f>
        <v>0</v>
      </c>
      <c r="G13" s="280">
        <f t="shared" si="1"/>
        <v>0</v>
      </c>
      <c r="H13" s="547" t="e">
        <f t="shared" si="0"/>
        <v>#DIV/0!</v>
      </c>
      <c r="I13" s="1651"/>
      <c r="J13" s="1651"/>
      <c r="K13" s="1651"/>
      <c r="L13" s="1651"/>
      <c r="M13" s="1651"/>
      <c r="N13" s="1651"/>
      <c r="O13" s="1651"/>
      <c r="P13" s="1651"/>
      <c r="Q13" s="1651"/>
      <c r="R13" s="1652"/>
      <c r="S13" s="468"/>
      <c r="T13" s="545"/>
      <c r="U13" s="545"/>
      <c r="V13" s="468"/>
      <c r="W13" s="468"/>
    </row>
    <row r="14" spans="1:24" ht="24" hidden="1" customHeight="1">
      <c r="A14" s="464"/>
      <c r="B14" s="249"/>
      <c r="C14" s="249"/>
      <c r="D14" s="233" t="s">
        <v>598</v>
      </c>
      <c r="E14" s="377">
        <v>0</v>
      </c>
      <c r="F14" s="377">
        <f>'[1]인건비총계표(후원금)'!L6+'[1]인건비총계표(후원금)'!L49</f>
        <v>0</v>
      </c>
      <c r="G14" s="280">
        <f t="shared" si="1"/>
        <v>0</v>
      </c>
      <c r="H14" s="547" t="e">
        <f t="shared" si="0"/>
        <v>#DIV/0!</v>
      </c>
      <c r="I14" s="1614"/>
      <c r="J14" s="1612"/>
      <c r="K14" s="1612"/>
      <c r="L14" s="1612"/>
      <c r="M14" s="1612"/>
      <c r="N14" s="1612"/>
      <c r="O14" s="1612"/>
      <c r="P14" s="1612"/>
      <c r="Q14" s="1612"/>
      <c r="R14" s="1613"/>
      <c r="S14" s="468"/>
      <c r="T14" s="545"/>
      <c r="U14" s="545"/>
      <c r="V14" s="468"/>
      <c r="W14" s="468"/>
    </row>
    <row r="15" spans="1:24" ht="21" hidden="1" customHeight="1">
      <c r="A15" s="464"/>
      <c r="B15" s="249"/>
      <c r="C15" s="548"/>
      <c r="D15" s="267" t="s">
        <v>515</v>
      </c>
      <c r="E15" s="377">
        <v>0</v>
      </c>
      <c r="F15" s="377">
        <f>'[1]인건비총계표(후원금)'!M49</f>
        <v>0</v>
      </c>
      <c r="G15" s="280">
        <f t="shared" si="1"/>
        <v>0</v>
      </c>
      <c r="H15" s="547" t="e">
        <f t="shared" si="0"/>
        <v>#DIV/0!</v>
      </c>
      <c r="I15" s="1651"/>
      <c r="J15" s="1651"/>
      <c r="K15" s="1651"/>
      <c r="L15" s="1651"/>
      <c r="M15" s="1651"/>
      <c r="N15" s="1651"/>
      <c r="O15" s="1651"/>
      <c r="P15" s="1651"/>
      <c r="Q15" s="1651"/>
      <c r="R15" s="1652"/>
      <c r="S15" s="468"/>
      <c r="T15" s="545"/>
      <c r="U15" s="545"/>
      <c r="V15" s="468"/>
      <c r="W15" s="468"/>
    </row>
    <row r="16" spans="1:24" ht="15.75" hidden="1" customHeight="1">
      <c r="A16" s="464"/>
      <c r="B16" s="249"/>
      <c r="C16" s="548"/>
      <c r="D16" s="233" t="s">
        <v>599</v>
      </c>
      <c r="E16" s="377">
        <v>0</v>
      </c>
      <c r="F16" s="377">
        <v>0</v>
      </c>
      <c r="G16" s="280">
        <f t="shared" si="1"/>
        <v>0</v>
      </c>
      <c r="H16" s="547" t="e">
        <f t="shared" si="0"/>
        <v>#DIV/0!</v>
      </c>
      <c r="I16" s="1602"/>
      <c r="J16" s="1603"/>
      <c r="K16" s="1603"/>
      <c r="L16" s="1603"/>
      <c r="M16" s="1603"/>
      <c r="N16" s="1603"/>
      <c r="O16" s="1603"/>
      <c r="P16" s="1603"/>
      <c r="Q16" s="1603"/>
      <c r="R16" s="1604"/>
      <c r="S16" s="468"/>
      <c r="T16" s="545"/>
      <c r="U16" s="545"/>
      <c r="V16" s="468"/>
      <c r="W16" s="468"/>
    </row>
    <row r="17" spans="1:23" ht="15.75" hidden="1" customHeight="1">
      <c r="A17" s="464"/>
      <c r="B17" s="249"/>
      <c r="C17" s="548"/>
      <c r="D17" s="233" t="s">
        <v>600</v>
      </c>
      <c r="E17" s="377">
        <v>0</v>
      </c>
      <c r="F17" s="377">
        <f>'[1]인건비총계표(후원금)'!N49</f>
        <v>0</v>
      </c>
      <c r="G17" s="280">
        <f t="shared" si="1"/>
        <v>0</v>
      </c>
      <c r="H17" s="547" t="e">
        <f t="shared" si="0"/>
        <v>#DIV/0!</v>
      </c>
      <c r="I17" s="1602"/>
      <c r="J17" s="1603"/>
      <c r="K17" s="1603"/>
      <c r="L17" s="1603"/>
      <c r="M17" s="1603"/>
      <c r="N17" s="1603"/>
      <c r="O17" s="1603"/>
      <c r="P17" s="1603"/>
      <c r="Q17" s="1603"/>
      <c r="R17" s="1604"/>
      <c r="S17" s="468"/>
      <c r="T17" s="545"/>
      <c r="U17" s="545"/>
      <c r="V17" s="468"/>
      <c r="W17" s="468"/>
    </row>
    <row r="18" spans="1:23" ht="15.75" hidden="1" customHeight="1">
      <c r="A18" s="464"/>
      <c r="B18" s="249"/>
      <c r="C18" s="548"/>
      <c r="D18" s="233" t="s">
        <v>601</v>
      </c>
      <c r="E18" s="377">
        <v>0</v>
      </c>
      <c r="F18" s="377">
        <v>0</v>
      </c>
      <c r="G18" s="280">
        <f t="shared" si="1"/>
        <v>0</v>
      </c>
      <c r="H18" s="547" t="e">
        <f t="shared" si="0"/>
        <v>#DIV/0!</v>
      </c>
      <c r="I18" s="1611"/>
      <c r="J18" s="1612"/>
      <c r="K18" s="1612"/>
      <c r="L18" s="1612"/>
      <c r="M18" s="1612"/>
      <c r="N18" s="1612"/>
      <c r="O18" s="1612"/>
      <c r="P18" s="1612"/>
      <c r="Q18" s="1612"/>
      <c r="R18" s="1613"/>
      <c r="S18" s="468"/>
      <c r="T18" s="545"/>
      <c r="U18" s="545"/>
      <c r="V18" s="468"/>
      <c r="W18" s="468"/>
    </row>
    <row r="19" spans="1:23" ht="22.5" hidden="1" customHeight="1">
      <c r="A19" s="464"/>
      <c r="B19" s="249"/>
      <c r="C19" s="548"/>
      <c r="D19" s="267" t="s">
        <v>516</v>
      </c>
      <c r="E19" s="377">
        <v>0</v>
      </c>
      <c r="F19" s="377">
        <f>'[1]인건비(후원금)'!L5</f>
        <v>0</v>
      </c>
      <c r="G19" s="280">
        <f t="shared" si="1"/>
        <v>0</v>
      </c>
      <c r="H19" s="547" t="e">
        <f t="shared" si="0"/>
        <v>#DIV/0!</v>
      </c>
      <c r="I19" s="1651" t="s">
        <v>654</v>
      </c>
      <c r="J19" s="1651"/>
      <c r="K19" s="1651"/>
      <c r="L19" s="1651"/>
      <c r="M19" s="1651"/>
      <c r="N19" s="1651"/>
      <c r="O19" s="1651"/>
      <c r="P19" s="1651"/>
      <c r="Q19" s="1651"/>
      <c r="R19" s="1652"/>
      <c r="S19" s="468"/>
      <c r="T19" s="545"/>
      <c r="U19" s="545"/>
      <c r="V19" s="468"/>
      <c r="W19" s="468"/>
    </row>
    <row r="20" spans="1:23" ht="15.75" hidden="1" customHeight="1">
      <c r="A20" s="464"/>
      <c r="B20" s="249"/>
      <c r="C20" s="548"/>
      <c r="D20" s="267" t="s">
        <v>517</v>
      </c>
      <c r="E20" s="377">
        <v>0</v>
      </c>
      <c r="F20" s="377">
        <f>'[1]인건비총계표(후원금)'!O49</f>
        <v>0</v>
      </c>
      <c r="G20" s="280">
        <f t="shared" si="1"/>
        <v>0</v>
      </c>
      <c r="H20" s="547" t="e">
        <f t="shared" si="0"/>
        <v>#DIV/0!</v>
      </c>
      <c r="I20" s="1651"/>
      <c r="J20" s="1651"/>
      <c r="K20" s="1651"/>
      <c r="L20" s="1651"/>
      <c r="M20" s="1651"/>
      <c r="N20" s="1651"/>
      <c r="O20" s="1651"/>
      <c r="P20" s="1651"/>
      <c r="Q20" s="1651"/>
      <c r="R20" s="1652"/>
      <c r="S20" s="468"/>
      <c r="T20" s="545"/>
      <c r="U20" s="545"/>
      <c r="V20" s="468"/>
      <c r="W20" s="468"/>
    </row>
    <row r="21" spans="1:23" ht="15.75" hidden="1" customHeight="1">
      <c r="A21" s="464"/>
      <c r="B21" s="249"/>
      <c r="C21" s="548"/>
      <c r="D21" s="267" t="s">
        <v>531</v>
      </c>
      <c r="E21" s="377">
        <v>0</v>
      </c>
      <c r="F21" s="377">
        <f>'[1]인건비총계표(후원금)'!R49</f>
        <v>0</v>
      </c>
      <c r="G21" s="280">
        <f t="shared" si="1"/>
        <v>0</v>
      </c>
      <c r="H21" s="547" t="e">
        <f t="shared" si="0"/>
        <v>#DIV/0!</v>
      </c>
      <c r="I21" s="1651"/>
      <c r="J21" s="1651"/>
      <c r="K21" s="1651"/>
      <c r="L21" s="1651"/>
      <c r="M21" s="1651"/>
      <c r="N21" s="1651"/>
      <c r="O21" s="1651"/>
      <c r="P21" s="1651"/>
      <c r="Q21" s="1651"/>
      <c r="R21" s="1652"/>
      <c r="S21" s="468"/>
      <c r="T21" s="545"/>
      <c r="U21" s="545"/>
      <c r="V21" s="468"/>
      <c r="W21" s="468"/>
    </row>
    <row r="22" spans="1:23" ht="15.75" hidden="1" customHeight="1">
      <c r="A22" s="464"/>
      <c r="B22" s="249"/>
      <c r="C22" s="548"/>
      <c r="D22" s="267" t="s">
        <v>655</v>
      </c>
      <c r="E22" s="377">
        <v>0</v>
      </c>
      <c r="F22" s="377">
        <v>0</v>
      </c>
      <c r="G22" s="280">
        <f t="shared" si="1"/>
        <v>0</v>
      </c>
      <c r="H22" s="547" t="e">
        <f t="shared" si="0"/>
        <v>#DIV/0!</v>
      </c>
      <c r="I22" s="1651"/>
      <c r="J22" s="1651"/>
      <c r="K22" s="1651"/>
      <c r="L22" s="1651"/>
      <c r="M22" s="1651"/>
      <c r="N22" s="1651"/>
      <c r="O22" s="1651"/>
      <c r="P22" s="1651"/>
      <c r="Q22" s="1651"/>
      <c r="R22" s="1652"/>
      <c r="S22" s="468"/>
      <c r="T22" s="545"/>
      <c r="U22" s="545"/>
      <c r="V22" s="468"/>
      <c r="W22" s="468"/>
    </row>
    <row r="23" spans="1:23" ht="21" hidden="1" customHeight="1">
      <c r="A23" s="464"/>
      <c r="B23" s="249"/>
      <c r="C23" s="548"/>
      <c r="D23" s="267" t="s">
        <v>656</v>
      </c>
      <c r="E23" s="377">
        <v>0</v>
      </c>
      <c r="F23" s="377">
        <f>'[1]인건비총계표(후원금)'!S49</f>
        <v>0</v>
      </c>
      <c r="G23" s="280">
        <f t="shared" si="1"/>
        <v>0</v>
      </c>
      <c r="H23" s="547" t="e">
        <f t="shared" si="0"/>
        <v>#DIV/0!</v>
      </c>
      <c r="I23" s="1602"/>
      <c r="J23" s="1603"/>
      <c r="K23" s="1603"/>
      <c r="L23" s="1603"/>
      <c r="M23" s="1603"/>
      <c r="N23" s="1603"/>
      <c r="O23" s="1603"/>
      <c r="P23" s="1603"/>
      <c r="Q23" s="1603"/>
      <c r="R23" s="1604"/>
      <c r="S23" s="468"/>
      <c r="T23" s="545"/>
      <c r="U23" s="545"/>
      <c r="V23" s="468"/>
      <c r="W23" s="468"/>
    </row>
    <row r="24" spans="1:23" ht="15.75" hidden="1" customHeight="1">
      <c r="A24" s="464"/>
      <c r="B24" s="249"/>
      <c r="C24" s="548"/>
      <c r="D24" s="267" t="s">
        <v>657</v>
      </c>
      <c r="E24" s="377">
        <v>0</v>
      </c>
      <c r="F24" s="377">
        <v>0</v>
      </c>
      <c r="G24" s="280">
        <f t="shared" si="1"/>
        <v>0</v>
      </c>
      <c r="H24" s="547" t="e">
        <f t="shared" si="0"/>
        <v>#DIV/0!</v>
      </c>
      <c r="I24" s="1611"/>
      <c r="J24" s="1612"/>
      <c r="K24" s="1612"/>
      <c r="L24" s="1612"/>
      <c r="M24" s="1612"/>
      <c r="N24" s="1612"/>
      <c r="O24" s="1612"/>
      <c r="P24" s="1612"/>
      <c r="Q24" s="1612"/>
      <c r="R24" s="1613"/>
      <c r="S24" s="468"/>
      <c r="T24" s="545"/>
      <c r="U24" s="545"/>
      <c r="V24" s="468"/>
      <c r="W24" s="468"/>
    </row>
    <row r="25" spans="1:23" ht="15.75" hidden="1" customHeight="1">
      <c r="A25" s="464"/>
      <c r="B25" s="249"/>
      <c r="C25" s="518"/>
      <c r="D25" s="267" t="s">
        <v>658</v>
      </c>
      <c r="E25" s="377"/>
      <c r="F25" s="377"/>
      <c r="G25" s="280">
        <f t="shared" si="1"/>
        <v>0</v>
      </c>
      <c r="H25" s="547" t="e">
        <f t="shared" si="0"/>
        <v>#DIV/0!</v>
      </c>
      <c r="I25" s="1602"/>
      <c r="J25" s="1603"/>
      <c r="K25" s="1603"/>
      <c r="L25" s="1603"/>
      <c r="M25" s="1603"/>
      <c r="N25" s="1603"/>
      <c r="O25" s="1603"/>
      <c r="P25" s="1603"/>
      <c r="Q25" s="1603"/>
      <c r="R25" s="1604"/>
      <c r="S25" s="468"/>
      <c r="T25" s="545"/>
      <c r="U25" s="545"/>
      <c r="V25" s="468"/>
      <c r="W25" s="468"/>
    </row>
    <row r="26" spans="1:23" ht="22.5" customHeight="1">
      <c r="A26" s="464"/>
      <c r="B26" s="249"/>
      <c r="C26" s="267" t="s">
        <v>604</v>
      </c>
      <c r="D26" s="267"/>
      <c r="E26" s="549">
        <v>600000</v>
      </c>
      <c r="F26" s="46">
        <f>ROUNDUP(F9*8.3333%,-1)</f>
        <v>250000</v>
      </c>
      <c r="G26" s="550">
        <f t="shared" si="1"/>
        <v>-350000</v>
      </c>
      <c r="H26" s="547">
        <f t="shared" si="0"/>
        <v>-58.333333333333336</v>
      </c>
      <c r="I26" s="1651"/>
      <c r="J26" s="1651"/>
      <c r="K26" s="1651"/>
      <c r="L26" s="1651"/>
      <c r="M26" s="1651"/>
      <c r="N26" s="1651"/>
      <c r="O26" s="1651"/>
      <c r="P26" s="1651"/>
      <c r="Q26" s="1651"/>
      <c r="R26" s="1652"/>
      <c r="S26" s="468"/>
      <c r="T26" s="545"/>
      <c r="U26" s="545"/>
      <c r="V26" s="468"/>
      <c r="W26" s="468"/>
    </row>
    <row r="27" spans="1:23" ht="22.5" customHeight="1">
      <c r="A27" s="464"/>
      <c r="B27" s="249"/>
      <c r="C27" s="267" t="s">
        <v>605</v>
      </c>
      <c r="D27" s="267" t="s">
        <v>312</v>
      </c>
      <c r="E27" s="377">
        <v>505030</v>
      </c>
      <c r="F27" s="377">
        <f>SUM(F28:F31)</f>
        <v>161310</v>
      </c>
      <c r="G27" s="280">
        <f t="shared" si="1"/>
        <v>-343720</v>
      </c>
      <c r="H27" s="547">
        <f t="shared" si="0"/>
        <v>-68.059323208522272</v>
      </c>
      <c r="I27" s="1602"/>
      <c r="J27" s="1603"/>
      <c r="K27" s="1603"/>
      <c r="L27" s="1603"/>
      <c r="M27" s="1603"/>
      <c r="N27" s="1603"/>
      <c r="O27" s="1603"/>
      <c r="P27" s="1603"/>
      <c r="Q27" s="1603"/>
      <c r="R27" s="1604"/>
      <c r="S27" s="551" t="s">
        <v>659</v>
      </c>
      <c r="T27" s="545"/>
      <c r="U27" s="545"/>
      <c r="V27" s="468"/>
      <c r="W27" s="468"/>
    </row>
    <row r="28" spans="1:23" ht="31.5" customHeight="1">
      <c r="A28" s="464"/>
      <c r="B28" s="249"/>
      <c r="C28" s="552"/>
      <c r="D28" s="552" t="s">
        <v>660</v>
      </c>
      <c r="E28" s="388">
        <v>335030</v>
      </c>
      <c r="F28" s="388">
        <f>U28</f>
        <v>110310</v>
      </c>
      <c r="G28" s="280">
        <f t="shared" si="1"/>
        <v>-224720</v>
      </c>
      <c r="H28" s="547">
        <f t="shared" si="0"/>
        <v>-67.074590335193861</v>
      </c>
      <c r="I28" s="1653" t="s">
        <v>661</v>
      </c>
      <c r="J28" s="1654"/>
      <c r="K28" s="1654"/>
      <c r="L28" s="1654"/>
      <c r="M28" s="1654"/>
      <c r="N28" s="1654"/>
      <c r="O28" s="1654"/>
      <c r="P28" s="1654"/>
      <c r="Q28" s="1654"/>
      <c r="R28" s="1655"/>
      <c r="S28" s="553">
        <f>ROUNDUP(F9*3.335%,-1)</f>
        <v>100050</v>
      </c>
      <c r="T28" s="553">
        <f>ROUNDUP(S28*10.25%,-1)</f>
        <v>10260</v>
      </c>
      <c r="U28" s="554">
        <f>SUM(S28:T28)</f>
        <v>110310</v>
      </c>
      <c r="V28" s="468"/>
      <c r="W28" s="468"/>
    </row>
    <row r="29" spans="1:23" ht="22.5" hidden="1" customHeight="1">
      <c r="A29" s="464"/>
      <c r="B29" s="249"/>
      <c r="C29" s="548"/>
      <c r="D29" s="267" t="s">
        <v>608</v>
      </c>
      <c r="E29" s="377">
        <v>0</v>
      </c>
      <c r="F29" s="377">
        <f>'[1]인건비총계표(후원금)'!W49</f>
        <v>0</v>
      </c>
      <c r="G29" s="280">
        <f t="shared" si="1"/>
        <v>0</v>
      </c>
      <c r="H29" s="547" t="e">
        <f t="shared" si="0"/>
        <v>#DIV/0!</v>
      </c>
      <c r="I29" s="1578"/>
      <c r="J29" s="1578"/>
      <c r="K29" s="1578"/>
      <c r="L29" s="1578"/>
      <c r="M29" s="1578"/>
      <c r="N29" s="1578"/>
      <c r="O29" s="1578"/>
      <c r="P29" s="1578"/>
      <c r="Q29" s="1578"/>
      <c r="R29" s="1579"/>
      <c r="S29" s="553">
        <f t="shared" ref="S29" si="2">ROUNDUP(F22*3.12%,-1)</f>
        <v>0</v>
      </c>
      <c r="T29" s="554"/>
      <c r="U29" s="554"/>
      <c r="V29" s="468"/>
      <c r="W29" s="468"/>
    </row>
    <row r="30" spans="1:23" ht="22.5" customHeight="1">
      <c r="A30" s="464"/>
      <c r="B30" s="249"/>
      <c r="C30" s="548"/>
      <c r="D30" s="267" t="s">
        <v>662</v>
      </c>
      <c r="E30" s="377">
        <v>90000</v>
      </c>
      <c r="F30" s="377">
        <f>T30</f>
        <v>27000</v>
      </c>
      <c r="G30" s="280">
        <f t="shared" si="1"/>
        <v>-63000</v>
      </c>
      <c r="H30" s="547">
        <f t="shared" si="0"/>
        <v>-70</v>
      </c>
      <c r="I30" s="1555" t="s">
        <v>663</v>
      </c>
      <c r="J30" s="1556"/>
      <c r="K30" s="1556"/>
      <c r="L30" s="1556"/>
      <c r="M30" s="1556"/>
      <c r="N30" s="1556"/>
      <c r="O30" s="1556"/>
      <c r="P30" s="1556"/>
      <c r="Q30" s="1556"/>
      <c r="R30" s="1557"/>
      <c r="S30" s="553">
        <f>F9</f>
        <v>3000000</v>
      </c>
      <c r="T30" s="553">
        <f>ROUNDUP(S30*0.9%,-1)</f>
        <v>27000</v>
      </c>
      <c r="U30" s="554"/>
      <c r="V30" s="468"/>
      <c r="W30" s="468"/>
    </row>
    <row r="31" spans="1:23" ht="22.5" customHeight="1">
      <c r="A31" s="464"/>
      <c r="B31" s="249"/>
      <c r="C31" s="251"/>
      <c r="D31" s="267" t="s">
        <v>664</v>
      </c>
      <c r="E31" s="377">
        <v>80000</v>
      </c>
      <c r="F31" s="377">
        <f>T31</f>
        <v>24000</v>
      </c>
      <c r="G31" s="280">
        <f t="shared" si="1"/>
        <v>-56000</v>
      </c>
      <c r="H31" s="547">
        <f t="shared" si="0"/>
        <v>-70</v>
      </c>
      <c r="I31" s="1555" t="s">
        <v>665</v>
      </c>
      <c r="J31" s="1556"/>
      <c r="K31" s="1556"/>
      <c r="L31" s="1556"/>
      <c r="M31" s="1556"/>
      <c r="N31" s="1556"/>
      <c r="O31" s="1556"/>
      <c r="P31" s="1556"/>
      <c r="Q31" s="1556"/>
      <c r="R31" s="1557"/>
      <c r="S31" s="553">
        <f>F9</f>
        <v>3000000</v>
      </c>
      <c r="T31" s="553">
        <f>ROUNDUP(S31*0.8%,-1)</f>
        <v>24000</v>
      </c>
      <c r="U31" s="554"/>
      <c r="V31" s="468"/>
      <c r="W31" s="468"/>
    </row>
    <row r="32" spans="1:23" ht="25.5" customHeight="1">
      <c r="A32" s="464"/>
      <c r="B32" s="251"/>
      <c r="C32" s="233" t="s">
        <v>320</v>
      </c>
      <c r="D32" s="233"/>
      <c r="E32" s="377">
        <v>30000000</v>
      </c>
      <c r="F32" s="377">
        <v>25000000</v>
      </c>
      <c r="G32" s="280">
        <f t="shared" si="1"/>
        <v>-5000000</v>
      </c>
      <c r="H32" s="547">
        <f t="shared" si="0"/>
        <v>-16.666666666666664</v>
      </c>
      <c r="I32" s="1651" t="s">
        <v>666</v>
      </c>
      <c r="J32" s="1651"/>
      <c r="K32" s="1651"/>
      <c r="L32" s="1651"/>
      <c r="M32" s="1651"/>
      <c r="N32" s="1651"/>
      <c r="O32" s="1651"/>
      <c r="P32" s="1651"/>
      <c r="Q32" s="1651"/>
      <c r="R32" s="1652"/>
      <c r="S32" s="468"/>
      <c r="T32" s="545"/>
      <c r="U32" s="545"/>
      <c r="V32" s="468"/>
      <c r="W32" s="468"/>
    </row>
    <row r="33" spans="1:23" ht="22.5" hidden="1" customHeight="1">
      <c r="A33" s="464"/>
      <c r="B33" s="233" t="s">
        <v>321</v>
      </c>
      <c r="C33" s="233" t="s">
        <v>312</v>
      </c>
      <c r="D33" s="233"/>
      <c r="E33" s="373">
        <v>0</v>
      </c>
      <c r="F33" s="373">
        <f>SUM(F34:F37)</f>
        <v>0</v>
      </c>
      <c r="G33" s="280">
        <f t="shared" si="1"/>
        <v>0</v>
      </c>
      <c r="H33" s="547" t="e">
        <f t="shared" si="0"/>
        <v>#DIV/0!</v>
      </c>
      <c r="I33" s="1651"/>
      <c r="J33" s="1651"/>
      <c r="K33" s="1651"/>
      <c r="L33" s="1651"/>
      <c r="M33" s="1651"/>
      <c r="N33" s="1651"/>
      <c r="O33" s="1651"/>
      <c r="P33" s="1651"/>
      <c r="Q33" s="1651"/>
      <c r="R33" s="1652"/>
      <c r="S33" s="468"/>
      <c r="T33" s="545"/>
      <c r="U33" s="545">
        <f>F33</f>
        <v>0</v>
      </c>
      <c r="V33" s="468"/>
      <c r="W33" s="468"/>
    </row>
    <row r="34" spans="1:23" ht="15.75" hidden="1" customHeight="1">
      <c r="A34" s="464"/>
      <c r="B34" s="552"/>
      <c r="C34" s="233" t="s">
        <v>530</v>
      </c>
      <c r="D34" s="233"/>
      <c r="E34" s="377">
        <v>0</v>
      </c>
      <c r="F34" s="377">
        <v>0</v>
      </c>
      <c r="G34" s="280">
        <f t="shared" si="1"/>
        <v>0</v>
      </c>
      <c r="H34" s="547" t="e">
        <f t="shared" si="0"/>
        <v>#DIV/0!</v>
      </c>
      <c r="I34" s="1651"/>
      <c r="J34" s="1651"/>
      <c r="K34" s="1651"/>
      <c r="L34" s="1651"/>
      <c r="M34" s="1651"/>
      <c r="N34" s="1651"/>
      <c r="O34" s="1651"/>
      <c r="P34" s="1651"/>
      <c r="Q34" s="1651"/>
      <c r="R34" s="1652"/>
      <c r="S34" s="468"/>
      <c r="T34" s="545"/>
      <c r="U34" s="545"/>
      <c r="V34" s="468"/>
      <c r="W34" s="468"/>
    </row>
    <row r="35" spans="1:23" ht="15.75" hidden="1" customHeight="1">
      <c r="A35" s="464"/>
      <c r="B35" s="249"/>
      <c r="C35" s="233" t="s">
        <v>531</v>
      </c>
      <c r="D35" s="233"/>
      <c r="E35" s="377">
        <v>0</v>
      </c>
      <c r="F35" s="377">
        <v>0</v>
      </c>
      <c r="G35" s="280">
        <f t="shared" si="1"/>
        <v>0</v>
      </c>
      <c r="H35" s="547" t="e">
        <f t="shared" si="0"/>
        <v>#DIV/0!</v>
      </c>
      <c r="I35" s="1651"/>
      <c r="J35" s="1651"/>
      <c r="K35" s="1651"/>
      <c r="L35" s="1651"/>
      <c r="M35" s="1651"/>
      <c r="N35" s="1651"/>
      <c r="O35" s="1651"/>
      <c r="P35" s="1651"/>
      <c r="Q35" s="1651"/>
      <c r="R35" s="1652"/>
      <c r="S35" s="468"/>
      <c r="T35" s="545"/>
      <c r="U35" s="545"/>
      <c r="V35" s="468"/>
      <c r="W35" s="468"/>
    </row>
    <row r="36" spans="1:23" ht="24" hidden="1" customHeight="1">
      <c r="A36" s="464"/>
      <c r="B36" s="249"/>
      <c r="C36" s="233" t="s">
        <v>615</v>
      </c>
      <c r="D36" s="233"/>
      <c r="E36" s="377">
        <v>0</v>
      </c>
      <c r="F36" s="377">
        <v>0</v>
      </c>
      <c r="G36" s="280">
        <f t="shared" si="1"/>
        <v>0</v>
      </c>
      <c r="H36" s="547" t="e">
        <f t="shared" si="0"/>
        <v>#DIV/0!</v>
      </c>
      <c r="I36" s="1651"/>
      <c r="J36" s="1651"/>
      <c r="K36" s="1651"/>
      <c r="L36" s="1651"/>
      <c r="M36" s="1651"/>
      <c r="N36" s="1651"/>
      <c r="O36" s="1651"/>
      <c r="P36" s="1651"/>
      <c r="Q36" s="1651"/>
      <c r="R36" s="1652"/>
      <c r="S36" s="468"/>
      <c r="T36" s="545"/>
      <c r="U36" s="545"/>
      <c r="V36" s="468"/>
      <c r="W36" s="468"/>
    </row>
    <row r="37" spans="1:23" ht="24" hidden="1" customHeight="1">
      <c r="A37" s="464"/>
      <c r="B37" s="251"/>
      <c r="C37" s="233" t="s">
        <v>323</v>
      </c>
      <c r="D37" s="233"/>
      <c r="E37" s="377">
        <v>0</v>
      </c>
      <c r="F37" s="377">
        <v>0</v>
      </c>
      <c r="G37" s="280">
        <f t="shared" si="1"/>
        <v>0</v>
      </c>
      <c r="H37" s="547" t="e">
        <f t="shared" si="0"/>
        <v>#DIV/0!</v>
      </c>
      <c r="I37" s="1651"/>
      <c r="J37" s="1651"/>
      <c r="K37" s="1651"/>
      <c r="L37" s="1651"/>
      <c r="M37" s="1651"/>
      <c r="N37" s="1651"/>
      <c r="O37" s="1651"/>
      <c r="P37" s="1651"/>
      <c r="Q37" s="1651"/>
      <c r="R37" s="1652"/>
      <c r="S37" s="468"/>
      <c r="T37" s="545"/>
      <c r="U37" s="545"/>
      <c r="V37" s="468"/>
      <c r="W37" s="468"/>
    </row>
    <row r="38" spans="1:23" ht="26.25" customHeight="1">
      <c r="A38" s="464"/>
      <c r="B38" s="233" t="s">
        <v>324</v>
      </c>
      <c r="C38" s="233" t="s">
        <v>312</v>
      </c>
      <c r="D38" s="233"/>
      <c r="E38" s="377">
        <v>121514970</v>
      </c>
      <c r="F38" s="377">
        <f>SUM(F39,F40,F43:F46)</f>
        <v>112948585</v>
      </c>
      <c r="G38" s="280">
        <f t="shared" si="1"/>
        <v>-8566385</v>
      </c>
      <c r="H38" s="547">
        <f t="shared" si="0"/>
        <v>-7.049654046740085</v>
      </c>
      <c r="I38" s="1651"/>
      <c r="J38" s="1651"/>
      <c r="K38" s="1651"/>
      <c r="L38" s="1651"/>
      <c r="M38" s="1651"/>
      <c r="N38" s="1651"/>
      <c r="O38" s="1651"/>
      <c r="P38" s="1651"/>
      <c r="Q38" s="1651"/>
      <c r="R38" s="1652"/>
      <c r="S38" s="468"/>
      <c r="T38" s="545"/>
      <c r="U38" s="545"/>
      <c r="V38" s="468"/>
      <c r="W38" s="468"/>
    </row>
    <row r="39" spans="1:23" ht="27.75" customHeight="1">
      <c r="A39" s="464"/>
      <c r="B39" s="247"/>
      <c r="C39" s="233" t="s">
        <v>326</v>
      </c>
      <c r="D39" s="233"/>
      <c r="E39" s="377">
        <v>5000000</v>
      </c>
      <c r="F39" s="377">
        <v>2000000</v>
      </c>
      <c r="G39" s="280">
        <f t="shared" si="1"/>
        <v>-3000000</v>
      </c>
      <c r="H39" s="547">
        <f t="shared" si="0"/>
        <v>-60</v>
      </c>
      <c r="I39" s="1651" t="s">
        <v>667</v>
      </c>
      <c r="J39" s="1651"/>
      <c r="K39" s="1651"/>
      <c r="L39" s="1651"/>
      <c r="M39" s="1651"/>
      <c r="N39" s="1651"/>
      <c r="O39" s="1651"/>
      <c r="P39" s="1651"/>
      <c r="Q39" s="1651"/>
      <c r="R39" s="1652"/>
      <c r="S39" s="468"/>
      <c r="T39" s="545"/>
      <c r="U39" s="545">
        <f>F39</f>
        <v>2000000</v>
      </c>
      <c r="V39" s="468"/>
      <c r="W39" s="468"/>
    </row>
    <row r="40" spans="1:23" ht="30.75" customHeight="1">
      <c r="A40" s="464"/>
      <c r="B40" s="249"/>
      <c r="C40" s="473" t="s">
        <v>534</v>
      </c>
      <c r="D40" s="233" t="s">
        <v>312</v>
      </c>
      <c r="E40" s="377">
        <v>40514970</v>
      </c>
      <c r="F40" s="377">
        <f>SUM(F41:F42)</f>
        <v>41948585</v>
      </c>
      <c r="G40" s="280">
        <f t="shared" si="1"/>
        <v>1433615</v>
      </c>
      <c r="H40" s="547">
        <f t="shared" si="0"/>
        <v>3.5384821955933821</v>
      </c>
      <c r="I40" s="1651" t="s">
        <v>668</v>
      </c>
      <c r="J40" s="1651"/>
      <c r="K40" s="1651"/>
      <c r="L40" s="1651"/>
      <c r="M40" s="1651"/>
      <c r="N40" s="1651"/>
      <c r="O40" s="1651"/>
      <c r="P40" s="1651"/>
      <c r="Q40" s="1651"/>
      <c r="R40" s="1652"/>
      <c r="S40" s="468"/>
      <c r="T40" s="545"/>
      <c r="U40" s="545">
        <f>F40</f>
        <v>41948585</v>
      </c>
      <c r="V40" s="468"/>
      <c r="W40" s="468"/>
    </row>
    <row r="41" spans="1:23" ht="28.5" customHeight="1">
      <c r="A41" s="464"/>
      <c r="B41" s="249"/>
      <c r="C41" s="233"/>
      <c r="D41" s="473" t="s">
        <v>534</v>
      </c>
      <c r="E41" s="377">
        <v>22514970</v>
      </c>
      <c r="F41" s="377">
        <f>23348585+600000</f>
        <v>23948585</v>
      </c>
      <c r="G41" s="280">
        <f t="shared" si="1"/>
        <v>1433615</v>
      </c>
      <c r="H41" s="547">
        <f t="shared" si="0"/>
        <v>6.3673857882111324</v>
      </c>
      <c r="I41" s="1531" t="s">
        <v>535</v>
      </c>
      <c r="J41" s="1534"/>
      <c r="K41" s="1534"/>
      <c r="L41" s="1534"/>
      <c r="M41" s="1534"/>
      <c r="N41" s="1534"/>
      <c r="O41" s="1534"/>
      <c r="P41" s="1534"/>
      <c r="Q41" s="1534"/>
      <c r="R41" s="1535"/>
      <c r="S41" s="468"/>
      <c r="T41" s="545"/>
      <c r="U41" s="545"/>
      <c r="V41" s="468"/>
      <c r="W41" s="468"/>
    </row>
    <row r="42" spans="1:23" ht="24" customHeight="1">
      <c r="A42" s="464"/>
      <c r="B42" s="249"/>
      <c r="C42" s="233"/>
      <c r="D42" s="233" t="s">
        <v>615</v>
      </c>
      <c r="E42" s="377">
        <v>18000000</v>
      </c>
      <c r="F42" s="377">
        <v>18000000</v>
      </c>
      <c r="G42" s="280">
        <f t="shared" si="1"/>
        <v>0</v>
      </c>
      <c r="H42" s="547">
        <f>G42/E42*100</f>
        <v>0</v>
      </c>
      <c r="I42" s="1651" t="s">
        <v>669</v>
      </c>
      <c r="J42" s="1651"/>
      <c r="K42" s="1651"/>
      <c r="L42" s="1651"/>
      <c r="M42" s="1651"/>
      <c r="N42" s="1651"/>
      <c r="O42" s="1651"/>
      <c r="P42" s="1651"/>
      <c r="Q42" s="1651"/>
      <c r="R42" s="1652"/>
      <c r="S42" s="468"/>
      <c r="T42" s="545"/>
      <c r="U42" s="545"/>
      <c r="V42" s="468"/>
      <c r="W42" s="468"/>
    </row>
    <row r="43" spans="1:23" ht="24" customHeight="1">
      <c r="A43" s="464"/>
      <c r="B43" s="249"/>
      <c r="C43" s="267" t="s">
        <v>329</v>
      </c>
      <c r="D43" s="267"/>
      <c r="E43" s="377">
        <v>40000000</v>
      </c>
      <c r="F43" s="377">
        <v>40000000</v>
      </c>
      <c r="G43" s="280">
        <f t="shared" si="1"/>
        <v>0</v>
      </c>
      <c r="H43" s="547">
        <f t="shared" si="0"/>
        <v>0</v>
      </c>
      <c r="I43" s="1651" t="s">
        <v>670</v>
      </c>
      <c r="J43" s="1651"/>
      <c r="K43" s="1651"/>
      <c r="L43" s="1651"/>
      <c r="M43" s="1651"/>
      <c r="N43" s="1651"/>
      <c r="O43" s="1651"/>
      <c r="P43" s="1651"/>
      <c r="Q43" s="1651"/>
      <c r="R43" s="1652"/>
      <c r="S43" s="468"/>
      <c r="T43" s="545">
        <f>F43</f>
        <v>40000000</v>
      </c>
      <c r="U43" s="545"/>
      <c r="V43" s="468"/>
      <c r="W43" s="468"/>
    </row>
    <row r="44" spans="1:23" ht="24" customHeight="1">
      <c r="A44" s="464"/>
      <c r="B44" s="249"/>
      <c r="C44" s="267" t="s">
        <v>330</v>
      </c>
      <c r="D44" s="267"/>
      <c r="E44" s="377">
        <v>5000000</v>
      </c>
      <c r="F44" s="377">
        <v>8000000</v>
      </c>
      <c r="G44" s="280">
        <f t="shared" si="1"/>
        <v>3000000</v>
      </c>
      <c r="H44" s="547">
        <f t="shared" si="0"/>
        <v>60</v>
      </c>
      <c r="I44" s="1651" t="s">
        <v>671</v>
      </c>
      <c r="J44" s="1651"/>
      <c r="K44" s="1651"/>
      <c r="L44" s="1651"/>
      <c r="M44" s="1651"/>
      <c r="N44" s="1651"/>
      <c r="O44" s="1651"/>
      <c r="P44" s="1651"/>
      <c r="Q44" s="1651"/>
      <c r="R44" s="1652"/>
      <c r="S44" s="468"/>
      <c r="T44" s="545">
        <f>F44-U44</f>
        <v>7000000</v>
      </c>
      <c r="U44" s="545">
        <v>1000000</v>
      </c>
      <c r="V44" s="468"/>
      <c r="W44" s="468"/>
    </row>
    <row r="45" spans="1:23" ht="24" customHeight="1">
      <c r="A45" s="464"/>
      <c r="B45" s="249"/>
      <c r="C45" s="267" t="s">
        <v>331</v>
      </c>
      <c r="D45" s="267"/>
      <c r="E45" s="377">
        <v>21000000</v>
      </c>
      <c r="F45" s="377">
        <v>18000000</v>
      </c>
      <c r="G45" s="280">
        <f t="shared" si="1"/>
        <v>-3000000</v>
      </c>
      <c r="H45" s="547">
        <f t="shared" si="0"/>
        <v>-14.285714285714285</v>
      </c>
      <c r="I45" s="1651" t="s">
        <v>672</v>
      </c>
      <c r="J45" s="1651"/>
      <c r="K45" s="1651"/>
      <c r="L45" s="1651"/>
      <c r="M45" s="1651"/>
      <c r="N45" s="1651"/>
      <c r="O45" s="1651"/>
      <c r="P45" s="1651"/>
      <c r="Q45" s="1651"/>
      <c r="R45" s="1652"/>
      <c r="S45" s="468"/>
      <c r="T45" s="545">
        <f>F45</f>
        <v>18000000</v>
      </c>
      <c r="U45" s="545"/>
      <c r="V45" s="468"/>
      <c r="W45" s="468"/>
    </row>
    <row r="46" spans="1:23" ht="24" customHeight="1">
      <c r="A46" s="489"/>
      <c r="B46" s="251"/>
      <c r="C46" s="267" t="s">
        <v>332</v>
      </c>
      <c r="D46" s="267"/>
      <c r="E46" s="377">
        <v>10000000</v>
      </c>
      <c r="F46" s="377">
        <v>3000000</v>
      </c>
      <c r="G46" s="280">
        <f t="shared" si="1"/>
        <v>-7000000</v>
      </c>
      <c r="H46" s="547">
        <f t="shared" si="0"/>
        <v>-70</v>
      </c>
      <c r="I46" s="1611" t="s">
        <v>673</v>
      </c>
      <c r="J46" s="1612"/>
      <c r="K46" s="1612"/>
      <c r="L46" s="1612"/>
      <c r="M46" s="1612"/>
      <c r="N46" s="1612"/>
      <c r="O46" s="1612"/>
      <c r="P46" s="1612"/>
      <c r="Q46" s="1612"/>
      <c r="R46" s="1613"/>
      <c r="S46" s="468"/>
      <c r="T46" s="545"/>
      <c r="U46" s="545">
        <f>F46</f>
        <v>3000000</v>
      </c>
      <c r="V46" s="468"/>
      <c r="W46" s="468"/>
    </row>
    <row r="47" spans="1:23" ht="26.25" customHeight="1">
      <c r="A47" s="555" t="s">
        <v>674</v>
      </c>
      <c r="B47" s="1661" t="s">
        <v>309</v>
      </c>
      <c r="C47" s="1662"/>
      <c r="D47" s="556"/>
      <c r="E47" s="557">
        <v>150900000</v>
      </c>
      <c r="F47" s="557">
        <f>F48</f>
        <v>203400000</v>
      </c>
      <c r="G47" s="302">
        <f t="shared" si="1"/>
        <v>52500000</v>
      </c>
      <c r="H47" s="544">
        <f t="shared" si="0"/>
        <v>34.791252485089466</v>
      </c>
      <c r="I47" s="1649"/>
      <c r="J47" s="1649"/>
      <c r="K47" s="1649"/>
      <c r="L47" s="1649"/>
      <c r="M47" s="1649"/>
      <c r="N47" s="1649"/>
      <c r="O47" s="1649"/>
      <c r="P47" s="1649"/>
      <c r="Q47" s="1649"/>
      <c r="R47" s="1650"/>
      <c r="S47" s="468"/>
      <c r="T47" s="545"/>
      <c r="U47" s="545"/>
      <c r="V47" s="468"/>
      <c r="W47" s="468"/>
    </row>
    <row r="48" spans="1:23" ht="20.25" customHeight="1">
      <c r="A48" s="457"/>
      <c r="B48" s="233" t="s">
        <v>334</v>
      </c>
      <c r="C48" s="267" t="s">
        <v>312</v>
      </c>
      <c r="D48" s="267"/>
      <c r="E48" s="377">
        <v>150900000</v>
      </c>
      <c r="F48" s="377">
        <f>SUM(F49:F51)</f>
        <v>203400000</v>
      </c>
      <c r="G48" s="280">
        <f t="shared" si="1"/>
        <v>52500000</v>
      </c>
      <c r="H48" s="547">
        <f t="shared" si="0"/>
        <v>34.791252485089466</v>
      </c>
      <c r="I48" s="1602"/>
      <c r="J48" s="1603"/>
      <c r="K48" s="1603"/>
      <c r="L48" s="1603"/>
      <c r="M48" s="1603"/>
      <c r="N48" s="1603"/>
      <c r="O48" s="1603"/>
      <c r="P48" s="1603"/>
      <c r="Q48" s="1603"/>
      <c r="R48" s="1604"/>
      <c r="S48" s="468"/>
      <c r="T48" s="545"/>
      <c r="U48" s="545"/>
      <c r="V48" s="468"/>
      <c r="W48" s="468"/>
    </row>
    <row r="49" spans="1:23" ht="20.25" customHeight="1">
      <c r="A49" s="464"/>
      <c r="B49" s="247"/>
      <c r="C49" s="267" t="s">
        <v>334</v>
      </c>
      <c r="D49" s="267"/>
      <c r="E49" s="377">
        <v>10000000</v>
      </c>
      <c r="F49" s="377"/>
      <c r="G49" s="280">
        <f t="shared" si="1"/>
        <v>-10000000</v>
      </c>
      <c r="H49" s="558">
        <v>100</v>
      </c>
      <c r="I49" s="1651"/>
      <c r="J49" s="1651"/>
      <c r="K49" s="1651"/>
      <c r="L49" s="1651"/>
      <c r="M49" s="1651"/>
      <c r="N49" s="1651"/>
      <c r="O49" s="1651"/>
      <c r="P49" s="1651"/>
      <c r="Q49" s="1651"/>
      <c r="R49" s="1652"/>
      <c r="S49" s="468"/>
      <c r="T49" s="545"/>
      <c r="U49" s="545">
        <f>F49</f>
        <v>0</v>
      </c>
      <c r="V49" s="468"/>
      <c r="W49" s="468"/>
    </row>
    <row r="50" spans="1:23" ht="39.75" customHeight="1">
      <c r="A50" s="464"/>
      <c r="B50" s="249"/>
      <c r="C50" s="267" t="s">
        <v>335</v>
      </c>
      <c r="D50" s="267"/>
      <c r="E50" s="377">
        <v>60900000</v>
      </c>
      <c r="F50" s="377">
        <v>102400000</v>
      </c>
      <c r="G50" s="280">
        <f t="shared" si="1"/>
        <v>41500000</v>
      </c>
      <c r="H50" s="547">
        <f t="shared" si="0"/>
        <v>68.144499178981931</v>
      </c>
      <c r="I50" s="1614" t="s">
        <v>675</v>
      </c>
      <c r="J50" s="1615"/>
      <c r="K50" s="1615"/>
      <c r="L50" s="1615"/>
      <c r="M50" s="1615"/>
      <c r="N50" s="1615"/>
      <c r="O50" s="1615"/>
      <c r="P50" s="1615"/>
      <c r="Q50" s="1615"/>
      <c r="R50" s="1616"/>
      <c r="S50" s="468"/>
      <c r="T50" s="545">
        <v>12400000</v>
      </c>
      <c r="U50" s="545">
        <f>F50-T50</f>
        <v>90000000</v>
      </c>
      <c r="V50" s="468"/>
      <c r="W50" s="468"/>
    </row>
    <row r="51" spans="1:23" ht="25.5" customHeight="1">
      <c r="A51" s="489"/>
      <c r="B51" s="251"/>
      <c r="C51" s="267" t="s">
        <v>621</v>
      </c>
      <c r="D51" s="267"/>
      <c r="E51" s="377">
        <v>80000000</v>
      </c>
      <c r="F51" s="377">
        <v>101000000</v>
      </c>
      <c r="G51" s="280">
        <f t="shared" si="1"/>
        <v>21000000</v>
      </c>
      <c r="H51" s="547">
        <f>G51/E51*100</f>
        <v>26.25</v>
      </c>
      <c r="I51" s="1651" t="s">
        <v>676</v>
      </c>
      <c r="J51" s="1651"/>
      <c r="K51" s="1651"/>
      <c r="L51" s="1651"/>
      <c r="M51" s="1651"/>
      <c r="N51" s="1651"/>
      <c r="O51" s="1651"/>
      <c r="P51" s="1651"/>
      <c r="Q51" s="1651"/>
      <c r="R51" s="1652"/>
      <c r="S51" s="468"/>
      <c r="T51" s="545">
        <f>F51</f>
        <v>101000000</v>
      </c>
      <c r="U51" s="545"/>
      <c r="V51" s="468"/>
      <c r="W51" s="468"/>
    </row>
    <row r="52" spans="1:23" ht="21" customHeight="1">
      <c r="A52" s="559" t="s">
        <v>337</v>
      </c>
      <c r="B52" s="1656" t="s">
        <v>309</v>
      </c>
      <c r="C52" s="1657"/>
      <c r="D52" s="560"/>
      <c r="E52" s="561">
        <v>56780000</v>
      </c>
      <c r="F52" s="561">
        <f>SUM(F53,F76,F87)</f>
        <v>46100000</v>
      </c>
      <c r="G52" s="562">
        <f t="shared" si="1"/>
        <v>-10680000</v>
      </c>
      <c r="H52" s="544">
        <f t="shared" si="0"/>
        <v>-18.809439943642129</v>
      </c>
      <c r="I52" s="1658"/>
      <c r="J52" s="1659"/>
      <c r="K52" s="1659"/>
      <c r="L52" s="1659"/>
      <c r="M52" s="1659"/>
      <c r="N52" s="1659"/>
      <c r="O52" s="1659"/>
      <c r="P52" s="1659"/>
      <c r="Q52" s="1659"/>
      <c r="R52" s="1660"/>
      <c r="S52" s="468"/>
      <c r="T52" s="545">
        <f>F52</f>
        <v>46100000</v>
      </c>
      <c r="U52" s="545"/>
      <c r="V52" s="468"/>
      <c r="W52" s="468"/>
    </row>
    <row r="53" spans="1:23" ht="24.75" customHeight="1">
      <c r="A53" s="457"/>
      <c r="B53" s="251" t="s">
        <v>324</v>
      </c>
      <c r="C53" s="251" t="s">
        <v>312</v>
      </c>
      <c r="D53" s="251"/>
      <c r="E53" s="501">
        <v>12000000</v>
      </c>
      <c r="F53" s="501">
        <f>SUM(F54,F55,F59)</f>
        <v>10000000</v>
      </c>
      <c r="G53" s="280">
        <f t="shared" si="1"/>
        <v>-2000000</v>
      </c>
      <c r="H53" s="547">
        <f t="shared" si="0"/>
        <v>-16.666666666666664</v>
      </c>
      <c r="I53" s="1645"/>
      <c r="J53" s="1645"/>
      <c r="K53" s="1645"/>
      <c r="L53" s="1645"/>
      <c r="M53" s="1645"/>
      <c r="N53" s="1645"/>
      <c r="O53" s="1645"/>
      <c r="P53" s="1645"/>
      <c r="Q53" s="1645"/>
      <c r="R53" s="1646"/>
      <c r="S53" s="468"/>
      <c r="T53" s="545"/>
      <c r="U53" s="545"/>
      <c r="V53" s="468"/>
      <c r="W53" s="468"/>
    </row>
    <row r="54" spans="1:23" ht="21" customHeight="1">
      <c r="A54" s="464"/>
      <c r="B54" s="552"/>
      <c r="C54" s="233" t="s">
        <v>340</v>
      </c>
      <c r="D54" s="233"/>
      <c r="E54" s="377">
        <v>5000000</v>
      </c>
      <c r="F54" s="377">
        <v>5000000</v>
      </c>
      <c r="G54" s="280">
        <f t="shared" si="1"/>
        <v>0</v>
      </c>
      <c r="H54" s="547">
        <f t="shared" si="0"/>
        <v>0</v>
      </c>
      <c r="I54" s="1651"/>
      <c r="J54" s="1651"/>
      <c r="K54" s="1651"/>
      <c r="L54" s="1651"/>
      <c r="M54" s="1651"/>
      <c r="N54" s="1651"/>
      <c r="O54" s="1651"/>
      <c r="P54" s="1651"/>
      <c r="Q54" s="1651"/>
      <c r="R54" s="1652"/>
      <c r="S54" s="468"/>
      <c r="T54" s="545"/>
      <c r="U54" s="545"/>
      <c r="V54" s="468"/>
      <c r="W54" s="468"/>
    </row>
    <row r="55" spans="1:23" ht="25.5" customHeight="1">
      <c r="A55" s="464"/>
      <c r="B55" s="249"/>
      <c r="C55" s="233" t="s">
        <v>549</v>
      </c>
      <c r="D55" s="233" t="s">
        <v>312</v>
      </c>
      <c r="E55" s="377">
        <v>6000000</v>
      </c>
      <c r="F55" s="377">
        <f>SUM(F56:F57)</f>
        <v>4000000</v>
      </c>
      <c r="G55" s="280">
        <f t="shared" si="1"/>
        <v>-2000000</v>
      </c>
      <c r="H55" s="547">
        <f t="shared" si="0"/>
        <v>-33.333333333333329</v>
      </c>
      <c r="I55" s="1651"/>
      <c r="J55" s="1651"/>
      <c r="K55" s="1651"/>
      <c r="L55" s="1651"/>
      <c r="M55" s="1651"/>
      <c r="N55" s="1651"/>
      <c r="O55" s="1651"/>
      <c r="P55" s="1651"/>
      <c r="Q55" s="1651"/>
      <c r="R55" s="1652"/>
      <c r="S55" s="468"/>
      <c r="T55" s="545"/>
      <c r="U55" s="545"/>
      <c r="V55" s="468"/>
      <c r="W55" s="468"/>
    </row>
    <row r="56" spans="1:23" ht="22.5" customHeight="1">
      <c r="A56" s="464"/>
      <c r="B56" s="249"/>
      <c r="C56" s="233"/>
      <c r="D56" s="267" t="s">
        <v>677</v>
      </c>
      <c r="E56" s="377">
        <v>3000000</v>
      </c>
      <c r="F56" s="377">
        <v>1000000</v>
      </c>
      <c r="G56" s="280">
        <f t="shared" si="1"/>
        <v>-2000000</v>
      </c>
      <c r="H56" s="547">
        <f t="shared" si="0"/>
        <v>-66.666666666666657</v>
      </c>
      <c r="I56" s="1602"/>
      <c r="J56" s="1603"/>
      <c r="K56" s="1603"/>
      <c r="L56" s="1603"/>
      <c r="M56" s="1603"/>
      <c r="N56" s="1603"/>
      <c r="O56" s="1603"/>
      <c r="P56" s="1603"/>
      <c r="Q56" s="1603"/>
      <c r="R56" s="1604"/>
      <c r="S56" s="468"/>
      <c r="T56" s="545"/>
      <c r="U56" s="545"/>
      <c r="V56" s="468"/>
      <c r="W56" s="468"/>
    </row>
    <row r="57" spans="1:23" ht="19.5" customHeight="1">
      <c r="A57" s="464"/>
      <c r="B57" s="249"/>
      <c r="C57" s="233"/>
      <c r="D57" s="233" t="s">
        <v>550</v>
      </c>
      <c r="E57" s="377">
        <v>3000000</v>
      </c>
      <c r="F57" s="377">
        <v>3000000</v>
      </c>
      <c r="G57" s="280">
        <f t="shared" si="1"/>
        <v>0</v>
      </c>
      <c r="H57" s="547">
        <f t="shared" si="0"/>
        <v>0</v>
      </c>
      <c r="I57" s="1651"/>
      <c r="J57" s="1651"/>
      <c r="K57" s="1651"/>
      <c r="L57" s="1651"/>
      <c r="M57" s="1651"/>
      <c r="N57" s="1651"/>
      <c r="O57" s="1651"/>
      <c r="P57" s="1651"/>
      <c r="Q57" s="1651"/>
      <c r="R57" s="1652"/>
      <c r="S57" s="468"/>
      <c r="T57" s="545"/>
      <c r="U57" s="545"/>
      <c r="V57" s="468"/>
      <c r="W57" s="468"/>
    </row>
    <row r="58" spans="1:23" ht="15.75" hidden="1" customHeight="1">
      <c r="A58" s="464"/>
      <c r="B58" s="249"/>
      <c r="C58" s="233" t="s">
        <v>342</v>
      </c>
      <c r="D58" s="233"/>
      <c r="E58" s="377">
        <v>0</v>
      </c>
      <c r="F58" s="377">
        <v>0</v>
      </c>
      <c r="G58" s="280">
        <f t="shared" si="1"/>
        <v>0</v>
      </c>
      <c r="H58" s="547" t="e">
        <f t="shared" si="0"/>
        <v>#DIV/0!</v>
      </c>
      <c r="I58" s="1651"/>
      <c r="J58" s="1651"/>
      <c r="K58" s="1651"/>
      <c r="L58" s="1651"/>
      <c r="M58" s="1651"/>
      <c r="N58" s="1651"/>
      <c r="O58" s="1651"/>
      <c r="P58" s="1651"/>
      <c r="Q58" s="1651"/>
      <c r="R58" s="1652"/>
      <c r="S58" s="468"/>
      <c r="T58" s="545"/>
      <c r="U58" s="545"/>
      <c r="V58" s="468"/>
      <c r="W58" s="468"/>
    </row>
    <row r="59" spans="1:23" ht="25.5" customHeight="1">
      <c r="A59" s="493"/>
      <c r="B59" s="494"/>
      <c r="C59" s="349" t="s">
        <v>344</v>
      </c>
      <c r="D59" s="349"/>
      <c r="E59" s="397">
        <v>1000000</v>
      </c>
      <c r="F59" s="397">
        <v>1000000</v>
      </c>
      <c r="G59" s="281">
        <f t="shared" si="1"/>
        <v>0</v>
      </c>
      <c r="H59" s="563">
        <f t="shared" si="0"/>
        <v>0</v>
      </c>
      <c r="I59" s="1666"/>
      <c r="J59" s="1666"/>
      <c r="K59" s="1666"/>
      <c r="L59" s="1666"/>
      <c r="M59" s="1666"/>
      <c r="N59" s="1666"/>
      <c r="O59" s="1666"/>
      <c r="P59" s="1666"/>
      <c r="Q59" s="1666"/>
      <c r="R59" s="1667"/>
      <c r="S59" s="468"/>
      <c r="T59" s="545"/>
      <c r="U59" s="545"/>
      <c r="V59" s="468"/>
      <c r="W59" s="468"/>
    </row>
    <row r="60" spans="1:23" ht="15.75" hidden="1" customHeight="1">
      <c r="A60" s="464"/>
      <c r="B60" s="249"/>
      <c r="C60" s="251" t="s">
        <v>678</v>
      </c>
      <c r="D60" s="251"/>
      <c r="E60" s="385">
        <v>0</v>
      </c>
      <c r="F60" s="385">
        <v>0</v>
      </c>
      <c r="G60" s="499">
        <f t="shared" si="1"/>
        <v>0</v>
      </c>
      <c r="H60" s="564" t="e">
        <f t="shared" si="0"/>
        <v>#DIV/0!</v>
      </c>
      <c r="I60" s="1645"/>
      <c r="J60" s="1645"/>
      <c r="K60" s="1645"/>
      <c r="L60" s="1645"/>
      <c r="M60" s="1645"/>
      <c r="N60" s="1645"/>
      <c r="O60" s="1645"/>
      <c r="P60" s="1645"/>
      <c r="Q60" s="1645"/>
      <c r="R60" s="1646"/>
      <c r="S60" s="468"/>
      <c r="T60" s="545"/>
      <c r="U60" s="545"/>
      <c r="V60" s="468"/>
      <c r="W60" s="468"/>
    </row>
    <row r="61" spans="1:23" ht="15.75" hidden="1" customHeight="1">
      <c r="A61" s="464"/>
      <c r="B61" s="249"/>
      <c r="C61" s="233" t="s">
        <v>627</v>
      </c>
      <c r="D61" s="233"/>
      <c r="E61" s="377">
        <v>0</v>
      </c>
      <c r="F61" s="377">
        <v>0</v>
      </c>
      <c r="G61" s="280">
        <f t="shared" si="1"/>
        <v>0</v>
      </c>
      <c r="H61" s="547" t="e">
        <f t="shared" si="0"/>
        <v>#DIV/0!</v>
      </c>
      <c r="I61" s="1602"/>
      <c r="J61" s="1603"/>
      <c r="K61" s="1603"/>
      <c r="L61" s="1603"/>
      <c r="M61" s="1603"/>
      <c r="N61" s="1603"/>
      <c r="O61" s="1603"/>
      <c r="P61" s="1603"/>
      <c r="Q61" s="1603"/>
      <c r="R61" s="1604"/>
      <c r="S61" s="468"/>
      <c r="T61" s="545"/>
      <c r="U61" s="545"/>
      <c r="V61" s="468"/>
      <c r="W61" s="468"/>
    </row>
    <row r="62" spans="1:23" ht="15.75" hidden="1" customHeight="1">
      <c r="A62" s="464"/>
      <c r="B62" s="249"/>
      <c r="C62" s="233" t="s">
        <v>628</v>
      </c>
      <c r="D62" s="233"/>
      <c r="E62" s="377">
        <v>0</v>
      </c>
      <c r="F62" s="377">
        <v>0</v>
      </c>
      <c r="G62" s="280">
        <f t="shared" si="1"/>
        <v>0</v>
      </c>
      <c r="H62" s="547" t="e">
        <f t="shared" si="0"/>
        <v>#DIV/0!</v>
      </c>
      <c r="I62" s="1602"/>
      <c r="J62" s="1603"/>
      <c r="K62" s="1603"/>
      <c r="L62" s="1603"/>
      <c r="M62" s="1603"/>
      <c r="N62" s="1603"/>
      <c r="O62" s="1603"/>
      <c r="P62" s="1603"/>
      <c r="Q62" s="1603"/>
      <c r="R62" s="1604"/>
      <c r="S62" s="468"/>
      <c r="T62" s="545"/>
      <c r="U62" s="545"/>
      <c r="V62" s="468"/>
      <c r="W62" s="468"/>
    </row>
    <row r="63" spans="1:23" ht="15.75" hidden="1" customHeight="1">
      <c r="A63" s="464"/>
      <c r="B63" s="249"/>
      <c r="C63" s="233" t="s">
        <v>629</v>
      </c>
      <c r="D63" s="233"/>
      <c r="E63" s="377">
        <v>0</v>
      </c>
      <c r="F63" s="377">
        <v>0</v>
      </c>
      <c r="G63" s="280">
        <f t="shared" si="1"/>
        <v>0</v>
      </c>
      <c r="H63" s="547" t="e">
        <f t="shared" si="0"/>
        <v>#DIV/0!</v>
      </c>
      <c r="I63" s="1651"/>
      <c r="J63" s="1651"/>
      <c r="K63" s="1651"/>
      <c r="L63" s="1651"/>
      <c r="M63" s="1651"/>
      <c r="N63" s="1651"/>
      <c r="O63" s="1651"/>
      <c r="P63" s="1651"/>
      <c r="Q63" s="1651"/>
      <c r="R63" s="1652"/>
      <c r="S63" s="468"/>
      <c r="T63" s="545"/>
      <c r="U63" s="545"/>
      <c r="V63" s="468"/>
      <c r="W63" s="468"/>
    </row>
    <row r="64" spans="1:23" ht="15.75" hidden="1" customHeight="1">
      <c r="A64" s="464"/>
      <c r="B64" s="251"/>
      <c r="C64" s="233" t="s">
        <v>345</v>
      </c>
      <c r="D64" s="233"/>
      <c r="E64" s="377">
        <v>0</v>
      </c>
      <c r="F64" s="377">
        <v>0</v>
      </c>
      <c r="G64" s="280">
        <f t="shared" si="1"/>
        <v>0</v>
      </c>
      <c r="H64" s="547" t="e">
        <f t="shared" si="0"/>
        <v>#DIV/0!</v>
      </c>
      <c r="I64" s="1611"/>
      <c r="J64" s="1612"/>
      <c r="K64" s="1612"/>
      <c r="L64" s="1612"/>
      <c r="M64" s="1612"/>
      <c r="N64" s="1612"/>
      <c r="O64" s="1612"/>
      <c r="P64" s="1612"/>
      <c r="Q64" s="1612"/>
      <c r="R64" s="1613"/>
      <c r="S64" s="468"/>
      <c r="T64" s="545"/>
      <c r="U64" s="545"/>
      <c r="V64" s="468"/>
      <c r="W64" s="468"/>
    </row>
    <row r="65" spans="1:23" s="52" customFormat="1" ht="15.75" hidden="1" customHeight="1">
      <c r="A65" s="464"/>
      <c r="B65" s="267" t="s">
        <v>630</v>
      </c>
      <c r="C65" s="233" t="s">
        <v>312</v>
      </c>
      <c r="D65" s="233"/>
      <c r="E65" s="377">
        <v>0</v>
      </c>
      <c r="F65" s="377">
        <f>SUM(F66:F75)</f>
        <v>0</v>
      </c>
      <c r="G65" s="280">
        <f t="shared" si="1"/>
        <v>0</v>
      </c>
      <c r="H65" s="547" t="e">
        <f t="shared" si="0"/>
        <v>#DIV/0!</v>
      </c>
      <c r="I65" s="1663"/>
      <c r="J65" s="1664"/>
      <c r="K65" s="1664"/>
      <c r="L65" s="1664"/>
      <c r="M65" s="1664"/>
      <c r="N65" s="1664"/>
      <c r="O65" s="1664"/>
      <c r="P65" s="1664"/>
      <c r="Q65" s="1664"/>
      <c r="R65" s="1665"/>
      <c r="S65" s="414"/>
      <c r="T65" s="565"/>
      <c r="U65" s="565"/>
      <c r="V65" s="414"/>
      <c r="W65" s="414"/>
    </row>
    <row r="66" spans="1:23" s="52" customFormat="1" ht="15.75" hidden="1" customHeight="1">
      <c r="A66" s="464"/>
      <c r="B66" s="548"/>
      <c r="C66" s="233" t="s">
        <v>631</v>
      </c>
      <c r="D66" s="233"/>
      <c r="E66" s="377">
        <v>0</v>
      </c>
      <c r="F66" s="377">
        <v>0</v>
      </c>
      <c r="G66" s="280">
        <f t="shared" si="1"/>
        <v>0</v>
      </c>
      <c r="H66" s="547" t="e">
        <f t="shared" si="0"/>
        <v>#DIV/0!</v>
      </c>
      <c r="I66" s="1663"/>
      <c r="J66" s="1664"/>
      <c r="K66" s="1664"/>
      <c r="L66" s="1664"/>
      <c r="M66" s="1664"/>
      <c r="N66" s="1664"/>
      <c r="O66" s="1664"/>
      <c r="P66" s="1664"/>
      <c r="Q66" s="1664"/>
      <c r="R66" s="1665"/>
      <c r="S66" s="414"/>
      <c r="T66" s="565"/>
      <c r="U66" s="565"/>
      <c r="V66" s="414"/>
      <c r="W66" s="414"/>
    </row>
    <row r="67" spans="1:23" s="52" customFormat="1" ht="15.75" hidden="1" customHeight="1">
      <c r="A67" s="464"/>
      <c r="B67" s="548"/>
      <c r="C67" s="233" t="s">
        <v>632</v>
      </c>
      <c r="D67" s="233"/>
      <c r="E67" s="377">
        <v>0</v>
      </c>
      <c r="F67" s="377">
        <v>0</v>
      </c>
      <c r="G67" s="280">
        <f t="shared" si="1"/>
        <v>0</v>
      </c>
      <c r="H67" s="547" t="e">
        <f t="shared" si="0"/>
        <v>#DIV/0!</v>
      </c>
      <c r="I67" s="1663"/>
      <c r="J67" s="1664"/>
      <c r="K67" s="1664"/>
      <c r="L67" s="1664"/>
      <c r="M67" s="1664"/>
      <c r="N67" s="1664"/>
      <c r="O67" s="1664"/>
      <c r="P67" s="1664"/>
      <c r="Q67" s="1664"/>
      <c r="R67" s="1665"/>
      <c r="S67" s="414"/>
      <c r="T67" s="565"/>
      <c r="U67" s="565"/>
      <c r="V67" s="414"/>
      <c r="W67" s="414"/>
    </row>
    <row r="68" spans="1:23" s="52" customFormat="1" ht="15.75" hidden="1" customHeight="1">
      <c r="A68" s="464"/>
      <c r="B68" s="249"/>
      <c r="C68" s="233" t="s">
        <v>633</v>
      </c>
      <c r="D68" s="233"/>
      <c r="E68" s="377">
        <v>0</v>
      </c>
      <c r="F68" s="377">
        <v>0</v>
      </c>
      <c r="G68" s="280">
        <f t="shared" si="1"/>
        <v>0</v>
      </c>
      <c r="H68" s="547" t="e">
        <f t="shared" si="0"/>
        <v>#DIV/0!</v>
      </c>
      <c r="I68" s="1663"/>
      <c r="J68" s="1664"/>
      <c r="K68" s="1664"/>
      <c r="L68" s="1664"/>
      <c r="M68" s="1664"/>
      <c r="N68" s="1664"/>
      <c r="O68" s="1664"/>
      <c r="P68" s="1664"/>
      <c r="Q68" s="1664"/>
      <c r="R68" s="1665"/>
      <c r="S68" s="414"/>
      <c r="T68" s="565"/>
      <c r="U68" s="565"/>
      <c r="V68" s="414"/>
      <c r="W68" s="414"/>
    </row>
    <row r="69" spans="1:23" s="52" customFormat="1" ht="15.75" hidden="1" customHeight="1">
      <c r="A69" s="464"/>
      <c r="B69" s="249"/>
      <c r="C69" s="233" t="s">
        <v>634</v>
      </c>
      <c r="D69" s="336"/>
      <c r="E69" s="377">
        <v>0</v>
      </c>
      <c r="F69" s="377">
        <v>0</v>
      </c>
      <c r="G69" s="280">
        <f t="shared" si="1"/>
        <v>0</v>
      </c>
      <c r="H69" s="547" t="e">
        <f t="shared" si="0"/>
        <v>#DIV/0!</v>
      </c>
      <c r="I69" s="1663"/>
      <c r="J69" s="1664"/>
      <c r="K69" s="1664"/>
      <c r="L69" s="1664"/>
      <c r="M69" s="1664"/>
      <c r="N69" s="1664"/>
      <c r="O69" s="1664"/>
      <c r="P69" s="1664"/>
      <c r="Q69" s="1664"/>
      <c r="R69" s="1665"/>
      <c r="S69" s="414"/>
      <c r="T69" s="565"/>
      <c r="U69" s="565"/>
      <c r="V69" s="414"/>
      <c r="W69" s="414"/>
    </row>
    <row r="70" spans="1:23" s="52" customFormat="1" ht="15.75" hidden="1" customHeight="1">
      <c r="A70" s="464"/>
      <c r="B70" s="249"/>
      <c r="C70" s="233" t="s">
        <v>635</v>
      </c>
      <c r="D70" s="233"/>
      <c r="E70" s="377">
        <v>0</v>
      </c>
      <c r="F70" s="377">
        <v>0</v>
      </c>
      <c r="G70" s="280">
        <f t="shared" si="1"/>
        <v>0</v>
      </c>
      <c r="H70" s="547" t="e">
        <f t="shared" si="0"/>
        <v>#DIV/0!</v>
      </c>
      <c r="I70" s="1663"/>
      <c r="J70" s="1664"/>
      <c r="K70" s="1664"/>
      <c r="L70" s="1664"/>
      <c r="M70" s="1664"/>
      <c r="N70" s="1664"/>
      <c r="O70" s="1664"/>
      <c r="P70" s="1664"/>
      <c r="Q70" s="1664"/>
      <c r="R70" s="1665"/>
      <c r="S70" s="414"/>
      <c r="T70" s="565"/>
      <c r="U70" s="565"/>
      <c r="V70" s="414"/>
      <c r="W70" s="414"/>
    </row>
    <row r="71" spans="1:23" s="52" customFormat="1" ht="15.75" hidden="1" customHeight="1">
      <c r="A71" s="464"/>
      <c r="B71" s="249"/>
      <c r="C71" s="233" t="s">
        <v>636</v>
      </c>
      <c r="D71" s="233"/>
      <c r="E71" s="377">
        <v>0</v>
      </c>
      <c r="F71" s="377">
        <v>0</v>
      </c>
      <c r="G71" s="280">
        <f t="shared" si="1"/>
        <v>0</v>
      </c>
      <c r="H71" s="547" t="e">
        <f t="shared" si="0"/>
        <v>#DIV/0!</v>
      </c>
      <c r="I71" s="1663"/>
      <c r="J71" s="1664"/>
      <c r="K71" s="1664"/>
      <c r="L71" s="1664"/>
      <c r="M71" s="1664"/>
      <c r="N71" s="1664"/>
      <c r="O71" s="1664"/>
      <c r="P71" s="1664"/>
      <c r="Q71" s="1664"/>
      <c r="R71" s="1665"/>
      <c r="S71" s="414"/>
      <c r="T71" s="565"/>
      <c r="U71" s="565"/>
      <c r="V71" s="414"/>
      <c r="W71" s="414"/>
    </row>
    <row r="72" spans="1:23" s="52" customFormat="1" ht="15.75" hidden="1" customHeight="1">
      <c r="A72" s="464"/>
      <c r="B72" s="249"/>
      <c r="C72" s="233" t="s">
        <v>637</v>
      </c>
      <c r="D72" s="233"/>
      <c r="E72" s="377">
        <v>0</v>
      </c>
      <c r="F72" s="377">
        <v>0</v>
      </c>
      <c r="G72" s="280">
        <f t="shared" si="1"/>
        <v>0</v>
      </c>
      <c r="H72" s="547" t="e">
        <f t="shared" ref="H72:H97" si="3">G72/E72*100</f>
        <v>#DIV/0!</v>
      </c>
      <c r="I72" s="1663"/>
      <c r="J72" s="1664"/>
      <c r="K72" s="1664"/>
      <c r="L72" s="1664"/>
      <c r="M72" s="1664"/>
      <c r="N72" s="1664"/>
      <c r="O72" s="1664"/>
      <c r="P72" s="1664"/>
      <c r="Q72" s="1664"/>
      <c r="R72" s="1665"/>
      <c r="S72" s="414"/>
      <c r="T72" s="565"/>
      <c r="U72" s="565"/>
      <c r="V72" s="414"/>
      <c r="W72" s="414"/>
    </row>
    <row r="73" spans="1:23" s="52" customFormat="1" ht="15.75" hidden="1" customHeight="1">
      <c r="A73" s="464"/>
      <c r="B73" s="249"/>
      <c r="C73" s="233" t="s">
        <v>638</v>
      </c>
      <c r="D73" s="233"/>
      <c r="E73" s="377">
        <v>0</v>
      </c>
      <c r="F73" s="377">
        <v>0</v>
      </c>
      <c r="G73" s="280">
        <f t="shared" ref="G73:G97" si="4">F73-E73</f>
        <v>0</v>
      </c>
      <c r="H73" s="547" t="e">
        <f t="shared" si="3"/>
        <v>#DIV/0!</v>
      </c>
      <c r="I73" s="1663"/>
      <c r="J73" s="1664"/>
      <c r="K73" s="1664"/>
      <c r="L73" s="1664"/>
      <c r="M73" s="1664"/>
      <c r="N73" s="1664"/>
      <c r="O73" s="1664"/>
      <c r="P73" s="1664"/>
      <c r="Q73" s="1664"/>
      <c r="R73" s="1665"/>
      <c r="S73" s="414"/>
      <c r="T73" s="565"/>
      <c r="U73" s="565"/>
      <c r="V73" s="414"/>
      <c r="W73" s="414"/>
    </row>
    <row r="74" spans="1:23" s="52" customFormat="1" ht="15.75" hidden="1" customHeight="1">
      <c r="A74" s="464"/>
      <c r="B74" s="249"/>
      <c r="C74" s="233" t="s">
        <v>639</v>
      </c>
      <c r="D74" s="566"/>
      <c r="E74" s="377">
        <v>0</v>
      </c>
      <c r="F74" s="377">
        <v>0</v>
      </c>
      <c r="G74" s="280">
        <f t="shared" si="4"/>
        <v>0</v>
      </c>
      <c r="H74" s="547" t="e">
        <f t="shared" si="3"/>
        <v>#DIV/0!</v>
      </c>
      <c r="I74" s="1663"/>
      <c r="J74" s="1664"/>
      <c r="K74" s="1664"/>
      <c r="L74" s="1664"/>
      <c r="M74" s="1664"/>
      <c r="N74" s="1664"/>
      <c r="O74" s="1664"/>
      <c r="P74" s="1664"/>
      <c r="Q74" s="1664"/>
      <c r="R74" s="1665"/>
      <c r="S74" s="414"/>
      <c r="T74" s="565"/>
      <c r="U74" s="565"/>
      <c r="V74" s="414"/>
      <c r="W74" s="414"/>
    </row>
    <row r="75" spans="1:23" s="52" customFormat="1" ht="16.5" hidden="1" customHeight="1">
      <c r="A75" s="464"/>
      <c r="B75" s="249"/>
      <c r="C75" s="267" t="s">
        <v>640</v>
      </c>
      <c r="D75" s="267"/>
      <c r="E75" s="377">
        <v>0</v>
      </c>
      <c r="F75" s="377">
        <v>0</v>
      </c>
      <c r="G75" s="280">
        <f t="shared" si="4"/>
        <v>0</v>
      </c>
      <c r="H75" s="547" t="e">
        <f t="shared" si="3"/>
        <v>#DIV/0!</v>
      </c>
      <c r="I75" s="1663"/>
      <c r="J75" s="1664"/>
      <c r="K75" s="1664"/>
      <c r="L75" s="1664"/>
      <c r="M75" s="1664"/>
      <c r="N75" s="1664"/>
      <c r="O75" s="1664"/>
      <c r="P75" s="1664"/>
      <c r="Q75" s="1664"/>
      <c r="R75" s="1665"/>
      <c r="S75" s="414"/>
      <c r="T75" s="565"/>
      <c r="U75" s="565"/>
      <c r="V75" s="414"/>
      <c r="W75" s="414"/>
    </row>
    <row r="76" spans="1:23" s="52" customFormat="1" ht="24.75" customHeight="1">
      <c r="A76" s="464"/>
      <c r="B76" s="233" t="s">
        <v>337</v>
      </c>
      <c r="C76" s="267" t="s">
        <v>312</v>
      </c>
      <c r="D76" s="267"/>
      <c r="E76" s="377">
        <v>43280000</v>
      </c>
      <c r="F76" s="377">
        <f>SUM(F78:F82)</f>
        <v>33280000</v>
      </c>
      <c r="G76" s="280">
        <f>F76-E76</f>
        <v>-10000000</v>
      </c>
      <c r="H76" s="547">
        <f t="shared" si="3"/>
        <v>-23.105360443622921</v>
      </c>
      <c r="I76" s="1602"/>
      <c r="J76" s="1603"/>
      <c r="K76" s="1603"/>
      <c r="L76" s="1603"/>
      <c r="M76" s="1603"/>
      <c r="N76" s="1603"/>
      <c r="O76" s="1603"/>
      <c r="P76" s="1603"/>
      <c r="Q76" s="1603"/>
      <c r="R76" s="1604"/>
      <c r="S76" s="414"/>
      <c r="T76" s="565"/>
      <c r="U76" s="565"/>
      <c r="V76" s="414"/>
      <c r="W76" s="414"/>
    </row>
    <row r="77" spans="1:23" s="52" customFormat="1" ht="24.75" hidden="1" customHeight="1">
      <c r="A77" s="464"/>
      <c r="B77" s="567"/>
      <c r="C77" s="267" t="s">
        <v>641</v>
      </c>
      <c r="D77" s="267"/>
      <c r="E77" s="377">
        <v>0</v>
      </c>
      <c r="F77" s="377">
        <v>0</v>
      </c>
      <c r="G77" s="280">
        <f t="shared" si="4"/>
        <v>0</v>
      </c>
      <c r="H77" s="547" t="e">
        <f t="shared" si="3"/>
        <v>#DIV/0!</v>
      </c>
      <c r="I77" s="1668"/>
      <c r="J77" s="1669"/>
      <c r="K77" s="1669"/>
      <c r="L77" s="1669"/>
      <c r="M77" s="1669"/>
      <c r="N77" s="1669"/>
      <c r="O77" s="1669"/>
      <c r="P77" s="1669"/>
      <c r="Q77" s="1669"/>
      <c r="R77" s="1670"/>
      <c r="S77" s="414"/>
      <c r="T77" s="565"/>
      <c r="U77" s="565"/>
      <c r="V77" s="414"/>
      <c r="W77" s="414"/>
    </row>
    <row r="78" spans="1:23" s="52" customFormat="1" ht="24.75" customHeight="1">
      <c r="A78" s="464"/>
      <c r="B78" s="249"/>
      <c r="C78" s="267" t="s">
        <v>554</v>
      </c>
      <c r="D78" s="267"/>
      <c r="E78" s="377">
        <v>40000000</v>
      </c>
      <c r="F78" s="377">
        <v>30000000</v>
      </c>
      <c r="G78" s="280">
        <f t="shared" si="4"/>
        <v>-10000000</v>
      </c>
      <c r="H78" s="547">
        <f t="shared" si="3"/>
        <v>-25</v>
      </c>
      <c r="I78" s="1671" t="s">
        <v>642</v>
      </c>
      <c r="J78" s="1672"/>
      <c r="K78" s="1672"/>
      <c r="L78" s="1672"/>
      <c r="M78" s="1672"/>
      <c r="N78" s="1672"/>
      <c r="O78" s="1672"/>
      <c r="P78" s="1672"/>
      <c r="Q78" s="1672"/>
      <c r="R78" s="1673"/>
      <c r="S78" s="414"/>
      <c r="T78" s="565"/>
      <c r="U78" s="565"/>
      <c r="V78" s="414"/>
      <c r="W78" s="414"/>
    </row>
    <row r="79" spans="1:23" s="52" customFormat="1" ht="24.75" hidden="1" customHeight="1">
      <c r="A79" s="464"/>
      <c r="B79" s="249"/>
      <c r="C79" s="267" t="s">
        <v>643</v>
      </c>
      <c r="D79" s="568"/>
      <c r="E79" s="377">
        <v>0</v>
      </c>
      <c r="F79" s="377">
        <v>0</v>
      </c>
      <c r="G79" s="280">
        <f t="shared" si="4"/>
        <v>0</v>
      </c>
      <c r="H79" s="547" t="e">
        <f t="shared" si="3"/>
        <v>#DIV/0!</v>
      </c>
      <c r="I79" s="1663" t="s">
        <v>679</v>
      </c>
      <c r="J79" s="1664"/>
      <c r="K79" s="1664"/>
      <c r="L79" s="1664"/>
      <c r="M79" s="1664"/>
      <c r="N79" s="1664"/>
      <c r="O79" s="1664"/>
      <c r="P79" s="1664"/>
      <c r="Q79" s="1664"/>
      <c r="R79" s="1665"/>
      <c r="S79" s="414"/>
      <c r="T79" s="565"/>
      <c r="U79" s="565"/>
      <c r="V79" s="414"/>
      <c r="W79" s="414"/>
    </row>
    <row r="80" spans="1:23" s="52" customFormat="1" ht="24.75" hidden="1" customHeight="1">
      <c r="A80" s="464"/>
      <c r="B80" s="249"/>
      <c r="C80" s="267" t="s">
        <v>645</v>
      </c>
      <c r="D80" s="267"/>
      <c r="E80" s="377">
        <v>0</v>
      </c>
      <c r="F80" s="377">
        <v>0</v>
      </c>
      <c r="G80" s="280">
        <f t="shared" si="4"/>
        <v>0</v>
      </c>
      <c r="H80" s="547" t="e">
        <f t="shared" si="3"/>
        <v>#DIV/0!</v>
      </c>
      <c r="I80" s="1663"/>
      <c r="J80" s="1664"/>
      <c r="K80" s="1664"/>
      <c r="L80" s="1664"/>
      <c r="M80" s="1664"/>
      <c r="N80" s="1664"/>
      <c r="O80" s="1664"/>
      <c r="P80" s="1664"/>
      <c r="Q80" s="1664"/>
      <c r="R80" s="1665"/>
      <c r="S80" s="414"/>
      <c r="T80" s="565"/>
      <c r="U80" s="565"/>
      <c r="V80" s="414"/>
      <c r="W80" s="414"/>
    </row>
    <row r="81" spans="1:23" s="52" customFormat="1" ht="33" customHeight="1">
      <c r="A81" s="464"/>
      <c r="B81" s="251"/>
      <c r="C81" s="267" t="s">
        <v>680</v>
      </c>
      <c r="D81" s="267"/>
      <c r="E81" s="377">
        <v>3280000</v>
      </c>
      <c r="F81" s="377">
        <v>3280000</v>
      </c>
      <c r="G81" s="280">
        <f t="shared" si="4"/>
        <v>0</v>
      </c>
      <c r="H81" s="547">
        <f t="shared" si="3"/>
        <v>0</v>
      </c>
      <c r="I81" s="1563" t="s">
        <v>681</v>
      </c>
      <c r="J81" s="1678"/>
      <c r="K81" s="1678"/>
      <c r="L81" s="1678"/>
      <c r="M81" s="1678"/>
      <c r="N81" s="1678"/>
      <c r="O81" s="1678"/>
      <c r="P81" s="1678"/>
      <c r="Q81" s="1678"/>
      <c r="R81" s="1679"/>
      <c r="S81" s="569"/>
      <c r="T81" s="570"/>
      <c r="U81" s="570"/>
      <c r="V81" s="414"/>
      <c r="W81" s="414"/>
    </row>
    <row r="82" spans="1:23" s="52" customFormat="1" ht="24.75" hidden="1" customHeight="1">
      <c r="A82" s="464"/>
      <c r="B82" s="249"/>
      <c r="C82" s="267"/>
      <c r="D82" s="267"/>
      <c r="E82" s="377"/>
      <c r="F82" s="377"/>
      <c r="G82" s="280">
        <f t="shared" si="4"/>
        <v>0</v>
      </c>
      <c r="H82" s="547" t="e">
        <f t="shared" si="3"/>
        <v>#DIV/0!</v>
      </c>
      <c r="I82" s="1531"/>
      <c r="J82" s="1534"/>
      <c r="K82" s="1534"/>
      <c r="L82" s="1534"/>
      <c r="M82" s="1534"/>
      <c r="N82" s="1534"/>
      <c r="O82" s="1534"/>
      <c r="P82" s="1534"/>
      <c r="Q82" s="1534"/>
      <c r="R82" s="1535"/>
      <c r="S82" s="569"/>
      <c r="T82" s="570"/>
      <c r="U82" s="570"/>
      <c r="V82" s="414"/>
      <c r="W82" s="414"/>
    </row>
    <row r="83" spans="1:23" s="52" customFormat="1" ht="24.75" hidden="1" customHeight="1">
      <c r="A83" s="464"/>
      <c r="B83" s="249"/>
      <c r="C83" s="267" t="s">
        <v>464</v>
      </c>
      <c r="D83" s="267" t="s">
        <v>312</v>
      </c>
      <c r="E83" s="377">
        <v>0</v>
      </c>
      <c r="F83" s="377">
        <f>F84</f>
        <v>0</v>
      </c>
      <c r="G83" s="280">
        <f t="shared" si="4"/>
        <v>0</v>
      </c>
      <c r="H83" s="547" t="e">
        <f t="shared" si="3"/>
        <v>#DIV/0!</v>
      </c>
      <c r="I83" s="1668"/>
      <c r="J83" s="1669"/>
      <c r="K83" s="1669"/>
      <c r="L83" s="1669"/>
      <c r="M83" s="1669"/>
      <c r="N83" s="1669"/>
      <c r="O83" s="1669"/>
      <c r="P83" s="1669"/>
      <c r="Q83" s="1669"/>
      <c r="R83" s="1670"/>
      <c r="S83" s="569"/>
      <c r="T83" s="570"/>
      <c r="U83" s="570"/>
      <c r="V83" s="414"/>
      <c r="W83" s="414"/>
    </row>
    <row r="84" spans="1:23" s="52" customFormat="1" ht="24.75" hidden="1" customHeight="1">
      <c r="A84" s="464"/>
      <c r="B84" s="249"/>
      <c r="C84" s="267"/>
      <c r="D84" s="267" t="s">
        <v>464</v>
      </c>
      <c r="E84" s="377">
        <v>0</v>
      </c>
      <c r="F84" s="377">
        <v>0</v>
      </c>
      <c r="G84" s="280">
        <f t="shared" si="4"/>
        <v>0</v>
      </c>
      <c r="H84" s="547" t="e">
        <f t="shared" si="3"/>
        <v>#DIV/0!</v>
      </c>
      <c r="I84" s="1668" t="s">
        <v>682</v>
      </c>
      <c r="J84" s="1669"/>
      <c r="K84" s="1669"/>
      <c r="L84" s="1669"/>
      <c r="M84" s="1669"/>
      <c r="N84" s="1669"/>
      <c r="O84" s="1669"/>
      <c r="P84" s="1669"/>
      <c r="Q84" s="1669"/>
      <c r="R84" s="1670"/>
      <c r="S84" s="569"/>
      <c r="T84" s="570">
        <f>F84</f>
        <v>0</v>
      </c>
      <c r="U84" s="570"/>
      <c r="V84" s="414"/>
      <c r="W84" s="414"/>
    </row>
    <row r="85" spans="1:23" s="52" customFormat="1" ht="24.75" hidden="1" customHeight="1">
      <c r="A85" s="464"/>
      <c r="B85" s="249"/>
      <c r="C85" s="267" t="s">
        <v>648</v>
      </c>
      <c r="D85" s="267" t="s">
        <v>312</v>
      </c>
      <c r="E85" s="377">
        <v>0</v>
      </c>
      <c r="F85" s="377">
        <f>F86</f>
        <v>0</v>
      </c>
      <c r="G85" s="280">
        <f t="shared" si="4"/>
        <v>0</v>
      </c>
      <c r="H85" s="547" t="e">
        <f t="shared" si="3"/>
        <v>#DIV/0!</v>
      </c>
      <c r="I85" s="1668"/>
      <c r="J85" s="1669"/>
      <c r="K85" s="1669"/>
      <c r="L85" s="1669"/>
      <c r="M85" s="1669"/>
      <c r="N85" s="1669"/>
      <c r="O85" s="1669"/>
      <c r="P85" s="1669"/>
      <c r="Q85" s="1669"/>
      <c r="R85" s="1670"/>
      <c r="S85" s="569"/>
      <c r="T85" s="570">
        <f>F85</f>
        <v>0</v>
      </c>
      <c r="U85" s="570"/>
      <c r="V85" s="414"/>
      <c r="W85" s="414"/>
    </row>
    <row r="86" spans="1:23" s="52" customFormat="1" ht="24.75" hidden="1" customHeight="1">
      <c r="A86" s="464"/>
      <c r="B86" s="251"/>
      <c r="C86" s="267"/>
      <c r="D86" s="267" t="s">
        <v>648</v>
      </c>
      <c r="E86" s="377">
        <v>0</v>
      </c>
      <c r="F86" s="377">
        <v>0</v>
      </c>
      <c r="G86" s="280">
        <f t="shared" si="4"/>
        <v>0</v>
      </c>
      <c r="H86" s="547" t="e">
        <f>G86/E86*100</f>
        <v>#DIV/0!</v>
      </c>
      <c r="I86" s="1674"/>
      <c r="J86" s="1664"/>
      <c r="K86" s="1664"/>
      <c r="L86" s="1664"/>
      <c r="M86" s="1664"/>
      <c r="N86" s="1664"/>
      <c r="O86" s="1664"/>
      <c r="P86" s="1664"/>
      <c r="Q86" s="1664"/>
      <c r="R86" s="1665"/>
      <c r="S86" s="569"/>
      <c r="T86" s="570"/>
      <c r="U86" s="570"/>
      <c r="V86" s="414"/>
      <c r="W86" s="414"/>
    </row>
    <row r="87" spans="1:23" s="52" customFormat="1" ht="24.75" customHeight="1">
      <c r="A87" s="464"/>
      <c r="B87" s="518" t="s">
        <v>683</v>
      </c>
      <c r="C87" s="267" t="s">
        <v>312</v>
      </c>
      <c r="D87" s="267"/>
      <c r="E87" s="377">
        <v>1500000</v>
      </c>
      <c r="F87" s="377">
        <f>F88</f>
        <v>2820000</v>
      </c>
      <c r="G87" s="280">
        <f t="shared" si="4"/>
        <v>1320000</v>
      </c>
      <c r="H87" s="547">
        <f t="shared" si="3"/>
        <v>88</v>
      </c>
      <c r="I87" s="1611"/>
      <c r="J87" s="1612"/>
      <c r="K87" s="1612"/>
      <c r="L87" s="1612"/>
      <c r="M87" s="1612"/>
      <c r="N87" s="1612"/>
      <c r="O87" s="1612"/>
      <c r="P87" s="1612"/>
      <c r="Q87" s="1612"/>
      <c r="R87" s="1613"/>
      <c r="S87" s="414"/>
      <c r="T87" s="565"/>
      <c r="U87" s="565"/>
      <c r="V87" s="414"/>
      <c r="W87" s="414"/>
    </row>
    <row r="88" spans="1:23" s="52" customFormat="1" ht="24.75" customHeight="1">
      <c r="A88" s="489"/>
      <c r="B88" s="233"/>
      <c r="C88" s="267" t="s">
        <v>355</v>
      </c>
      <c r="D88" s="267"/>
      <c r="E88" s="377">
        <v>1500000</v>
      </c>
      <c r="F88" s="377">
        <v>2820000</v>
      </c>
      <c r="G88" s="280">
        <f t="shared" si="4"/>
        <v>1320000</v>
      </c>
      <c r="H88" s="547">
        <f t="shared" si="3"/>
        <v>88</v>
      </c>
      <c r="I88" s="1611"/>
      <c r="J88" s="1612"/>
      <c r="K88" s="1612"/>
      <c r="L88" s="1612"/>
      <c r="M88" s="1612"/>
      <c r="N88" s="1612"/>
      <c r="O88" s="1612"/>
      <c r="P88" s="1612"/>
      <c r="Q88" s="1612"/>
      <c r="R88" s="1613"/>
      <c r="S88" s="414"/>
      <c r="T88" s="565"/>
      <c r="U88" s="565"/>
      <c r="V88" s="414"/>
      <c r="W88" s="414"/>
    </row>
    <row r="89" spans="1:23" s="52" customFormat="1" ht="24.75" customHeight="1">
      <c r="A89" s="571" t="s">
        <v>684</v>
      </c>
      <c r="B89" s="1656" t="s">
        <v>92</v>
      </c>
      <c r="C89" s="1657"/>
      <c r="D89" s="560"/>
      <c r="E89" s="561">
        <v>800000</v>
      </c>
      <c r="F89" s="561">
        <f>F90</f>
        <v>1040105</v>
      </c>
      <c r="G89" s="562">
        <f t="shared" si="4"/>
        <v>240105</v>
      </c>
      <c r="H89" s="544">
        <f t="shared" si="3"/>
        <v>30.013125000000002</v>
      </c>
      <c r="I89" s="1675"/>
      <c r="J89" s="1676"/>
      <c r="K89" s="1676"/>
      <c r="L89" s="1676"/>
      <c r="M89" s="1676"/>
      <c r="N89" s="1676"/>
      <c r="O89" s="1676"/>
      <c r="P89" s="1676"/>
      <c r="Q89" s="1676"/>
      <c r="R89" s="1677"/>
      <c r="S89" s="414"/>
      <c r="T89" s="565"/>
      <c r="U89" s="545">
        <f>F89</f>
        <v>1040105</v>
      </c>
      <c r="V89" s="414"/>
      <c r="W89" s="414"/>
    </row>
    <row r="90" spans="1:23" s="52" customFormat="1" ht="24.75" customHeight="1">
      <c r="A90" s="457"/>
      <c r="B90" s="233" t="s">
        <v>357</v>
      </c>
      <c r="C90" s="267" t="s">
        <v>312</v>
      </c>
      <c r="D90" s="267"/>
      <c r="E90" s="377">
        <v>800000</v>
      </c>
      <c r="F90" s="377">
        <f>F91</f>
        <v>1040105</v>
      </c>
      <c r="G90" s="280">
        <f t="shared" si="4"/>
        <v>240105</v>
      </c>
      <c r="H90" s="547">
        <f t="shared" si="3"/>
        <v>30.013125000000002</v>
      </c>
      <c r="I90" s="1611"/>
      <c r="J90" s="1612"/>
      <c r="K90" s="1612"/>
      <c r="L90" s="1612"/>
      <c r="M90" s="1612"/>
      <c r="N90" s="1612"/>
      <c r="O90" s="1612"/>
      <c r="P90" s="1612"/>
      <c r="Q90" s="1612"/>
      <c r="R90" s="1613"/>
      <c r="S90" s="414"/>
      <c r="T90" s="565"/>
      <c r="U90" s="565"/>
      <c r="V90" s="414"/>
      <c r="W90" s="414"/>
    </row>
    <row r="91" spans="1:23" s="52" customFormat="1" ht="24.75" customHeight="1">
      <c r="A91" s="493"/>
      <c r="B91" s="349"/>
      <c r="C91" s="508" t="s">
        <v>357</v>
      </c>
      <c r="D91" s="508"/>
      <c r="E91" s="397">
        <v>800000</v>
      </c>
      <c r="F91" s="397">
        <v>1040105</v>
      </c>
      <c r="G91" s="281">
        <f t="shared" si="4"/>
        <v>240105</v>
      </c>
      <c r="H91" s="563">
        <f t="shared" si="3"/>
        <v>30.013125000000002</v>
      </c>
      <c r="I91" s="1686" t="s">
        <v>685</v>
      </c>
      <c r="J91" s="1687"/>
      <c r="K91" s="1687"/>
      <c r="L91" s="1687"/>
      <c r="M91" s="1687"/>
      <c r="N91" s="1687"/>
      <c r="O91" s="1687"/>
      <c r="P91" s="1687"/>
      <c r="Q91" s="1687"/>
      <c r="R91" s="1688"/>
      <c r="S91" s="414"/>
      <c r="T91" s="565"/>
      <c r="U91" s="565"/>
      <c r="V91" s="414"/>
      <c r="W91" s="414"/>
    </row>
    <row r="92" spans="1:23" ht="23.25" hidden="1" customHeight="1">
      <c r="A92" s="489" t="s">
        <v>360</v>
      </c>
      <c r="B92" s="1689" t="s">
        <v>309</v>
      </c>
      <c r="C92" s="1690"/>
      <c r="D92" s="518"/>
      <c r="E92" s="385">
        <v>0</v>
      </c>
      <c r="F92" s="385">
        <f>F93</f>
        <v>0</v>
      </c>
      <c r="G92" s="499">
        <f t="shared" si="4"/>
        <v>0</v>
      </c>
      <c r="H92" s="564" t="e">
        <f t="shared" si="3"/>
        <v>#DIV/0!</v>
      </c>
      <c r="I92" s="1645"/>
      <c r="J92" s="1645"/>
      <c r="K92" s="1645"/>
      <c r="L92" s="1645"/>
      <c r="M92" s="1645"/>
      <c r="N92" s="1645"/>
      <c r="O92" s="1645"/>
      <c r="P92" s="1645"/>
      <c r="Q92" s="1645"/>
      <c r="R92" s="1646"/>
      <c r="S92" s="468"/>
      <c r="T92" s="545"/>
      <c r="U92" s="545">
        <f>F92</f>
        <v>0</v>
      </c>
      <c r="V92" s="468"/>
      <c r="W92" s="468"/>
    </row>
    <row r="93" spans="1:23" ht="23.25" hidden="1" customHeight="1">
      <c r="A93" s="457"/>
      <c r="B93" s="572" t="s">
        <v>686</v>
      </c>
      <c r="C93" s="1643" t="s">
        <v>309</v>
      </c>
      <c r="D93" s="1644"/>
      <c r="E93" s="401">
        <v>0</v>
      </c>
      <c r="F93" s="401">
        <f>F94</f>
        <v>0</v>
      </c>
      <c r="G93" s="280">
        <f t="shared" si="4"/>
        <v>0</v>
      </c>
      <c r="H93" s="547" t="e">
        <f t="shared" si="3"/>
        <v>#DIV/0!</v>
      </c>
      <c r="I93" s="1651"/>
      <c r="J93" s="1651"/>
      <c r="K93" s="1651"/>
      <c r="L93" s="1651"/>
      <c r="M93" s="1651"/>
      <c r="N93" s="1651"/>
      <c r="O93" s="1651"/>
      <c r="P93" s="1651"/>
      <c r="Q93" s="1651"/>
      <c r="R93" s="1652"/>
      <c r="S93" s="468"/>
      <c r="T93" s="545"/>
      <c r="U93" s="545"/>
      <c r="V93" s="468"/>
      <c r="W93" s="468"/>
    </row>
    <row r="94" spans="1:23" ht="23.25" hidden="1" customHeight="1">
      <c r="A94" s="464"/>
      <c r="B94" s="254"/>
      <c r="C94" s="267" t="s">
        <v>687</v>
      </c>
      <c r="D94" s="233" t="s">
        <v>312</v>
      </c>
      <c r="E94" s="401">
        <v>0</v>
      </c>
      <c r="F94" s="401">
        <f>F95</f>
        <v>0</v>
      </c>
      <c r="G94" s="280">
        <f t="shared" si="4"/>
        <v>0</v>
      </c>
      <c r="H94" s="547" t="e">
        <f t="shared" si="3"/>
        <v>#DIV/0!</v>
      </c>
      <c r="I94" s="1691"/>
      <c r="J94" s="1691"/>
      <c r="K94" s="1691"/>
      <c r="L94" s="1691"/>
      <c r="M94" s="1691"/>
      <c r="N94" s="1691"/>
      <c r="O94" s="1691"/>
      <c r="P94" s="1691"/>
      <c r="Q94" s="1691"/>
      <c r="R94" s="1692"/>
      <c r="S94" s="468"/>
      <c r="T94" s="545"/>
      <c r="U94" s="545"/>
      <c r="V94" s="468"/>
      <c r="W94" s="468"/>
    </row>
    <row r="95" spans="1:23" ht="29.25" hidden="1" customHeight="1">
      <c r="A95" s="449" t="s">
        <v>649</v>
      </c>
      <c r="B95" s="258"/>
      <c r="C95" s="251"/>
      <c r="D95" s="233" t="s">
        <v>688</v>
      </c>
      <c r="E95" s="377">
        <v>0</v>
      </c>
      <c r="F95" s="377">
        <v>0</v>
      </c>
      <c r="G95" s="280">
        <f t="shared" si="4"/>
        <v>0</v>
      </c>
      <c r="H95" s="547" t="e">
        <f t="shared" si="3"/>
        <v>#DIV/0!</v>
      </c>
      <c r="I95" s="1680"/>
      <c r="J95" s="1681"/>
      <c r="K95" s="1681"/>
      <c r="L95" s="1681"/>
      <c r="M95" s="1681"/>
      <c r="N95" s="1681"/>
      <c r="O95" s="1681"/>
      <c r="P95" s="1681"/>
      <c r="Q95" s="1681"/>
      <c r="R95" s="1682"/>
      <c r="S95" s="468"/>
      <c r="T95" s="545"/>
      <c r="U95" s="545">
        <f>F95</f>
        <v>0</v>
      </c>
      <c r="V95" s="468"/>
      <c r="W95" s="468"/>
    </row>
    <row r="96" spans="1:23" ht="24" hidden="1" customHeight="1">
      <c r="A96" s="457"/>
      <c r="B96" s="251" t="s">
        <v>649</v>
      </c>
      <c r="C96" s="518" t="s">
        <v>312</v>
      </c>
      <c r="D96" s="518"/>
      <c r="E96" s="385">
        <v>0</v>
      </c>
      <c r="F96" s="385">
        <f>F97</f>
        <v>0</v>
      </c>
      <c r="G96" s="499">
        <f t="shared" si="4"/>
        <v>0</v>
      </c>
      <c r="H96" s="547" t="e">
        <f t="shared" si="3"/>
        <v>#DIV/0!</v>
      </c>
      <c r="I96" s="1683"/>
      <c r="J96" s="1684"/>
      <c r="K96" s="1684"/>
      <c r="L96" s="1684"/>
      <c r="M96" s="1684"/>
      <c r="N96" s="1684"/>
      <c r="O96" s="1684"/>
      <c r="P96" s="1684"/>
      <c r="Q96" s="1684"/>
      <c r="R96" s="1685"/>
      <c r="S96" s="468"/>
      <c r="T96" s="545"/>
      <c r="U96" s="545"/>
      <c r="V96" s="468"/>
      <c r="W96" s="468"/>
    </row>
    <row r="97" spans="1:23" ht="24" hidden="1" customHeight="1">
      <c r="A97" s="493"/>
      <c r="B97" s="349"/>
      <c r="C97" s="508" t="s">
        <v>649</v>
      </c>
      <c r="D97" s="508"/>
      <c r="E97" s="397">
        <v>0</v>
      </c>
      <c r="F97" s="397">
        <v>0</v>
      </c>
      <c r="G97" s="281">
        <f t="shared" si="4"/>
        <v>0</v>
      </c>
      <c r="H97" s="547" t="e">
        <f t="shared" si="3"/>
        <v>#DIV/0!</v>
      </c>
      <c r="I97" s="1686"/>
      <c r="J97" s="1687"/>
      <c r="K97" s="1687"/>
      <c r="L97" s="1687"/>
      <c r="M97" s="1687"/>
      <c r="N97" s="1687"/>
      <c r="O97" s="1687"/>
      <c r="P97" s="1687"/>
      <c r="Q97" s="1687"/>
      <c r="R97" s="1688"/>
      <c r="S97" s="468"/>
      <c r="T97" s="545"/>
      <c r="U97" s="545"/>
      <c r="V97" s="468"/>
      <c r="W97" s="468"/>
    </row>
    <row r="98" spans="1:23">
      <c r="A98" s="83"/>
      <c r="B98" s="83"/>
      <c r="C98" s="83"/>
      <c r="D98" s="83"/>
    </row>
  </sheetData>
  <mergeCells count="108">
    <mergeCell ref="I95:R95"/>
    <mergeCell ref="I96:R96"/>
    <mergeCell ref="I97:R97"/>
    <mergeCell ref="I91:R91"/>
    <mergeCell ref="B92:C92"/>
    <mergeCell ref="I92:R92"/>
    <mergeCell ref="C93:D93"/>
    <mergeCell ref="I93:R93"/>
    <mergeCell ref="I94:R94"/>
    <mergeCell ref="I86:R86"/>
    <mergeCell ref="I87:R87"/>
    <mergeCell ref="I88:R88"/>
    <mergeCell ref="B89:C89"/>
    <mergeCell ref="I89:R89"/>
    <mergeCell ref="I90:R90"/>
    <mergeCell ref="I80:R80"/>
    <mergeCell ref="I81:R81"/>
    <mergeCell ref="I82:R82"/>
    <mergeCell ref="I83:R83"/>
    <mergeCell ref="I84:R84"/>
    <mergeCell ref="I85:R85"/>
    <mergeCell ref="I74:R74"/>
    <mergeCell ref="I75:R75"/>
    <mergeCell ref="I76:R76"/>
    <mergeCell ref="I77:R77"/>
    <mergeCell ref="I78:R78"/>
    <mergeCell ref="I79:R79"/>
    <mergeCell ref="I68:R68"/>
    <mergeCell ref="I69:R69"/>
    <mergeCell ref="I70:R70"/>
    <mergeCell ref="I71:R71"/>
    <mergeCell ref="I72:R72"/>
    <mergeCell ref="I73:R73"/>
    <mergeCell ref="I62:R62"/>
    <mergeCell ref="I63:R63"/>
    <mergeCell ref="I64:R64"/>
    <mergeCell ref="I65:R65"/>
    <mergeCell ref="I66:R66"/>
    <mergeCell ref="I67:R67"/>
    <mergeCell ref="I56:R56"/>
    <mergeCell ref="I57:R57"/>
    <mergeCell ref="I58:R58"/>
    <mergeCell ref="I59:R59"/>
    <mergeCell ref="I60:R60"/>
    <mergeCell ref="I61:R61"/>
    <mergeCell ref="I51:R51"/>
    <mergeCell ref="B52:C52"/>
    <mergeCell ref="I52:R52"/>
    <mergeCell ref="I53:R53"/>
    <mergeCell ref="I54:R54"/>
    <mergeCell ref="I55:R55"/>
    <mergeCell ref="I46:R46"/>
    <mergeCell ref="B47:C47"/>
    <mergeCell ref="I47:R47"/>
    <mergeCell ref="I48:R48"/>
    <mergeCell ref="I49:R49"/>
    <mergeCell ref="I50:R50"/>
    <mergeCell ref="I40:R40"/>
    <mergeCell ref="I41:R41"/>
    <mergeCell ref="I42:R42"/>
    <mergeCell ref="I43:R43"/>
    <mergeCell ref="I44:R44"/>
    <mergeCell ref="I45:R45"/>
    <mergeCell ref="I34:R34"/>
    <mergeCell ref="I35:R35"/>
    <mergeCell ref="I36:R36"/>
    <mergeCell ref="I37:R37"/>
    <mergeCell ref="I38:R38"/>
    <mergeCell ref="I39:R39"/>
    <mergeCell ref="I28:R28"/>
    <mergeCell ref="I29:R29"/>
    <mergeCell ref="I30:R30"/>
    <mergeCell ref="I31:R31"/>
    <mergeCell ref="I32:R32"/>
    <mergeCell ref="I33:R33"/>
    <mergeCell ref="I22:R22"/>
    <mergeCell ref="I23:R23"/>
    <mergeCell ref="I24:R24"/>
    <mergeCell ref="I25:R25"/>
    <mergeCell ref="I26:R26"/>
    <mergeCell ref="I27:R27"/>
    <mergeCell ref="I16:R16"/>
    <mergeCell ref="I17:R17"/>
    <mergeCell ref="I18:R18"/>
    <mergeCell ref="I19:R19"/>
    <mergeCell ref="I20:R20"/>
    <mergeCell ref="I21:R21"/>
    <mergeCell ref="I10:R10"/>
    <mergeCell ref="I11:R11"/>
    <mergeCell ref="I12:R12"/>
    <mergeCell ref="I13:R13"/>
    <mergeCell ref="I14:R14"/>
    <mergeCell ref="I15:R15"/>
    <mergeCell ref="A6:C6"/>
    <mergeCell ref="I6:R6"/>
    <mergeCell ref="B7:C7"/>
    <mergeCell ref="I7:R7"/>
    <mergeCell ref="I8:R8"/>
    <mergeCell ref="I9:R9"/>
    <mergeCell ref="I1:R1"/>
    <mergeCell ref="A2:C2"/>
    <mergeCell ref="I2:R2"/>
    <mergeCell ref="I3:R3"/>
    <mergeCell ref="A4:D4"/>
    <mergeCell ref="E4:E5"/>
    <mergeCell ref="F4:F5"/>
    <mergeCell ref="G4:H4"/>
    <mergeCell ref="I4:R5"/>
  </mergeCells>
  <phoneticPr fontId="7" type="noConversion"/>
  <pageMargins left="0.7" right="0.7" top="0.75" bottom="0.75" header="0.3" footer="0.3"/>
  <legacy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1"/>
  <sheetViews>
    <sheetView topLeftCell="A16" workbookViewId="0">
      <selection activeCell="W43" sqref="W43"/>
    </sheetView>
  </sheetViews>
  <sheetFormatPr defaultRowHeight="13.5"/>
  <cols>
    <col min="1" max="2" width="12.25" style="52" customWidth="1"/>
    <col min="3" max="3" width="15.375" style="52" customWidth="1"/>
    <col min="4" max="4" width="14.375" style="124" customWidth="1"/>
    <col min="5" max="6" width="14.375" style="52" customWidth="1"/>
    <col min="7" max="7" width="7.625" style="52" customWidth="1"/>
    <col min="8" max="8" width="40.625" style="52" customWidth="1"/>
    <col min="9" max="9" width="13" style="124" customWidth="1"/>
    <col min="10" max="10" width="16.5" style="52" customWidth="1"/>
    <col min="11" max="11" width="5.625" style="52" customWidth="1"/>
    <col min="12" max="12" width="12.125" style="52" customWidth="1"/>
    <col min="13" max="16384" width="9" style="123"/>
  </cols>
  <sheetData>
    <row r="1" spans="1:10" s="55" customFormat="1" ht="22.5" customHeight="1">
      <c r="A1" s="1581" t="s">
        <v>478</v>
      </c>
      <c r="B1" s="1582"/>
      <c r="C1" s="1582"/>
      <c r="D1" s="51"/>
      <c r="E1" s="123"/>
      <c r="F1" s="53"/>
      <c r="G1" s="53"/>
    </row>
    <row r="2" spans="1:10" s="55" customFormat="1" ht="22.5" customHeight="1">
      <c r="A2" s="1510" t="s">
        <v>479</v>
      </c>
      <c r="B2" s="1510"/>
      <c r="C2" s="1510"/>
      <c r="D2" s="51"/>
      <c r="E2" s="123"/>
      <c r="F2" s="53"/>
      <c r="G2" s="53"/>
    </row>
    <row r="3" spans="1:10" s="55" customFormat="1" ht="22.5" customHeight="1">
      <c r="A3" s="53"/>
      <c r="B3" s="53"/>
      <c r="C3" s="53"/>
      <c r="D3" s="51"/>
      <c r="E3" s="53"/>
      <c r="F3" s="53"/>
      <c r="G3" s="53"/>
      <c r="H3" s="58" t="s">
        <v>298</v>
      </c>
    </row>
    <row r="4" spans="1:10" s="286" customFormat="1" ht="33.75" customHeight="1">
      <c r="A4" s="1693" t="s">
        <v>301</v>
      </c>
      <c r="B4" s="1694"/>
      <c r="C4" s="1694"/>
      <c r="D4" s="1515" t="str">
        <f>'[1]다-2.자부담세입'!D4:D5</f>
        <v>당초예산
( A )</v>
      </c>
      <c r="E4" s="1517" t="str">
        <f>'[1]다-2.자부담세입'!E4:E5</f>
        <v>1차추경
( B )</v>
      </c>
      <c r="F4" s="1519" t="s">
        <v>480</v>
      </c>
      <c r="G4" s="1519"/>
      <c r="H4" s="1697" t="s">
        <v>481</v>
      </c>
    </row>
    <row r="5" spans="1:10" s="286" customFormat="1" ht="33.75" customHeight="1" thickBot="1">
      <c r="A5" s="287" t="s">
        <v>1</v>
      </c>
      <c r="B5" s="64" t="s">
        <v>2</v>
      </c>
      <c r="C5" s="64" t="s">
        <v>3</v>
      </c>
      <c r="D5" s="1516"/>
      <c r="E5" s="1518"/>
      <c r="F5" s="288" t="s">
        <v>305</v>
      </c>
      <c r="G5" s="289" t="s">
        <v>306</v>
      </c>
      <c r="H5" s="1698"/>
    </row>
    <row r="6" spans="1:10" s="286" customFormat="1" ht="29.25" customHeight="1" thickTop="1">
      <c r="A6" s="1499" t="s">
        <v>482</v>
      </c>
      <c r="B6" s="1699"/>
      <c r="C6" s="1699"/>
      <c r="D6" s="290">
        <v>380700000</v>
      </c>
      <c r="E6" s="290">
        <f>E16+E22+E26+E29+E33</f>
        <v>401500000</v>
      </c>
      <c r="F6" s="290">
        <f>F10+F22+F26+F29+F33+F13+F7+F16</f>
        <v>20800000</v>
      </c>
      <c r="G6" s="291">
        <f>F6/D6*100</f>
        <v>5.4636196480168113</v>
      </c>
      <c r="H6" s="292"/>
      <c r="J6" s="293">
        <f>E6-'[1]라-3.후원금세출'!F6</f>
        <v>0</v>
      </c>
    </row>
    <row r="7" spans="1:10" s="123" customFormat="1" ht="29.25" customHeight="1">
      <c r="A7" s="294" t="s">
        <v>308</v>
      </c>
      <c r="B7" s="1695" t="s">
        <v>309</v>
      </c>
      <c r="C7" s="1695"/>
      <c r="D7" s="279">
        <v>0</v>
      </c>
      <c r="E7" s="279">
        <f t="shared" ref="E7:F8" si="0">E8</f>
        <v>0</v>
      </c>
      <c r="F7" s="279">
        <f t="shared" si="0"/>
        <v>0</v>
      </c>
      <c r="G7" s="295">
        <v>0</v>
      </c>
      <c r="H7" s="296"/>
    </row>
    <row r="8" spans="1:10" s="123" customFormat="1" ht="29.25" customHeight="1">
      <c r="A8" s="297"/>
      <c r="B8" s="282" t="s">
        <v>311</v>
      </c>
      <c r="C8" s="282" t="s">
        <v>312</v>
      </c>
      <c r="D8" s="280">
        <v>0</v>
      </c>
      <c r="E8" s="280">
        <f t="shared" si="0"/>
        <v>0</v>
      </c>
      <c r="F8" s="280">
        <f t="shared" si="0"/>
        <v>0</v>
      </c>
      <c r="G8" s="295">
        <v>0</v>
      </c>
      <c r="H8" s="298"/>
    </row>
    <row r="9" spans="1:10" s="123" customFormat="1" ht="29.25" customHeight="1">
      <c r="A9" s="299"/>
      <c r="B9" s="282"/>
      <c r="C9" s="282" t="s">
        <v>311</v>
      </c>
      <c r="D9" s="280">
        <v>0</v>
      </c>
      <c r="E9" s="280">
        <v>0</v>
      </c>
      <c r="F9" s="280">
        <f>E9-D9</f>
        <v>0</v>
      </c>
      <c r="G9" s="295">
        <v>0</v>
      </c>
      <c r="H9" s="298"/>
    </row>
    <row r="10" spans="1:10" s="123" customFormat="1" ht="29.25" customHeight="1">
      <c r="A10" s="294" t="s">
        <v>318</v>
      </c>
      <c r="B10" s="1695" t="s">
        <v>309</v>
      </c>
      <c r="C10" s="1695"/>
      <c r="D10" s="279">
        <v>0</v>
      </c>
      <c r="E10" s="279">
        <f t="shared" ref="E10:F11" si="1">E11</f>
        <v>0</v>
      </c>
      <c r="F10" s="279">
        <f t="shared" si="1"/>
        <v>0</v>
      </c>
      <c r="G10" s="295">
        <v>0</v>
      </c>
      <c r="H10" s="298"/>
    </row>
    <row r="11" spans="1:10" s="123" customFormat="1" ht="29.25" customHeight="1">
      <c r="A11" s="297"/>
      <c r="B11" s="282" t="s">
        <v>318</v>
      </c>
      <c r="C11" s="282" t="s">
        <v>312</v>
      </c>
      <c r="D11" s="279">
        <v>0</v>
      </c>
      <c r="E11" s="279">
        <f t="shared" si="1"/>
        <v>0</v>
      </c>
      <c r="F11" s="279">
        <f t="shared" si="1"/>
        <v>0</v>
      </c>
      <c r="G11" s="295">
        <v>0</v>
      </c>
      <c r="H11" s="298"/>
    </row>
    <row r="12" spans="1:10" s="123" customFormat="1" ht="29.25" customHeight="1">
      <c r="A12" s="299"/>
      <c r="B12" s="282"/>
      <c r="C12" s="282" t="s">
        <v>318</v>
      </c>
      <c r="D12" s="279">
        <v>0</v>
      </c>
      <c r="E12" s="279">
        <v>0</v>
      </c>
      <c r="F12" s="280">
        <f>E12-D12</f>
        <v>0</v>
      </c>
      <c r="G12" s="295">
        <v>0</v>
      </c>
      <c r="H12" s="298"/>
    </row>
    <row r="13" spans="1:10" s="123" customFormat="1" ht="29.25" customHeight="1">
      <c r="A13" s="294" t="s">
        <v>322</v>
      </c>
      <c r="B13" s="1695" t="s">
        <v>309</v>
      </c>
      <c r="C13" s="1695"/>
      <c r="D13" s="279">
        <v>0</v>
      </c>
      <c r="E13" s="279">
        <f t="shared" ref="E13:F14" si="2">E14</f>
        <v>0</v>
      </c>
      <c r="F13" s="279">
        <f t="shared" si="2"/>
        <v>0</v>
      </c>
      <c r="G13" s="295">
        <v>0</v>
      </c>
      <c r="H13" s="298"/>
    </row>
    <row r="14" spans="1:10" s="123" customFormat="1" ht="29.25" customHeight="1">
      <c r="A14" s="297"/>
      <c r="B14" s="282" t="s">
        <v>339</v>
      </c>
      <c r="C14" s="282" t="s">
        <v>312</v>
      </c>
      <c r="D14" s="279">
        <v>0</v>
      </c>
      <c r="E14" s="279">
        <f t="shared" si="2"/>
        <v>0</v>
      </c>
      <c r="F14" s="279">
        <f t="shared" si="2"/>
        <v>0</v>
      </c>
      <c r="G14" s="295">
        <v>0</v>
      </c>
      <c r="H14" s="298"/>
    </row>
    <row r="15" spans="1:10" s="123" customFormat="1" ht="29.25" customHeight="1">
      <c r="A15" s="299"/>
      <c r="B15" s="282"/>
      <c r="C15" s="282" t="s">
        <v>339</v>
      </c>
      <c r="D15" s="279">
        <v>0</v>
      </c>
      <c r="E15" s="279">
        <v>0</v>
      </c>
      <c r="F15" s="280">
        <f t="shared" ref="F15:F37" si="3">E15-D15</f>
        <v>0</v>
      </c>
      <c r="G15" s="295">
        <v>0</v>
      </c>
      <c r="H15" s="298"/>
    </row>
    <row r="16" spans="1:10" s="123" customFormat="1" ht="29.25" customHeight="1">
      <c r="A16" s="300" t="s">
        <v>339</v>
      </c>
      <c r="B16" s="1700" t="s">
        <v>309</v>
      </c>
      <c r="C16" s="1701"/>
      <c r="D16" s="301">
        <v>364200000</v>
      </c>
      <c r="E16" s="301">
        <f>E17+E20</f>
        <v>378500000</v>
      </c>
      <c r="F16" s="302">
        <f t="shared" si="3"/>
        <v>14300000</v>
      </c>
      <c r="G16" s="303">
        <f t="shared" ref="G16:G36" si="4">F16/D16*100</f>
        <v>3.9264140582097746</v>
      </c>
      <c r="H16" s="304"/>
    </row>
    <row r="17" spans="1:8" s="123" customFormat="1" ht="29.25" customHeight="1">
      <c r="A17" s="297"/>
      <c r="B17" s="282" t="s">
        <v>339</v>
      </c>
      <c r="C17" s="282" t="s">
        <v>312</v>
      </c>
      <c r="D17" s="279">
        <v>364200000</v>
      </c>
      <c r="E17" s="279">
        <f>SUM(E18:E19)</f>
        <v>378500000</v>
      </c>
      <c r="F17" s="280">
        <f t="shared" si="3"/>
        <v>14300000</v>
      </c>
      <c r="G17" s="305">
        <f>F17/D17*100</f>
        <v>3.9264140582097746</v>
      </c>
      <c r="H17" s="298"/>
    </row>
    <row r="18" spans="1:8" s="123" customFormat="1" ht="53.25" customHeight="1">
      <c r="A18" s="306"/>
      <c r="B18" s="307"/>
      <c r="C18" s="282" t="s">
        <v>341</v>
      </c>
      <c r="D18" s="279">
        <v>14200000</v>
      </c>
      <c r="E18" s="279">
        <f>12400000+3280000+2820000+20000000</f>
        <v>38500000</v>
      </c>
      <c r="F18" s="280">
        <f t="shared" si="3"/>
        <v>24300000</v>
      </c>
      <c r="G18" s="305">
        <f t="shared" si="4"/>
        <v>171.12676056338029</v>
      </c>
      <c r="H18" s="308" t="s">
        <v>483</v>
      </c>
    </row>
    <row r="19" spans="1:8" s="123" customFormat="1" ht="29.25" customHeight="1">
      <c r="A19" s="306"/>
      <c r="B19" s="309"/>
      <c r="C19" s="282" t="s">
        <v>343</v>
      </c>
      <c r="D19" s="279">
        <v>350000000</v>
      </c>
      <c r="E19" s="279">
        <v>340000000</v>
      </c>
      <c r="F19" s="280">
        <f>E19-D19</f>
        <v>-10000000</v>
      </c>
      <c r="G19" s="305">
        <f t="shared" si="4"/>
        <v>-2.8571428571428572</v>
      </c>
      <c r="H19" s="310" t="s">
        <v>484</v>
      </c>
    </row>
    <row r="20" spans="1:8" s="123" customFormat="1" ht="29.25" hidden="1" customHeight="1">
      <c r="A20" s="306"/>
      <c r="B20" s="282"/>
      <c r="C20" s="282"/>
      <c r="D20" s="279"/>
      <c r="E20" s="279"/>
      <c r="F20" s="280">
        <f t="shared" si="3"/>
        <v>0</v>
      </c>
      <c r="G20" s="305" t="e">
        <f t="shared" si="4"/>
        <v>#DIV/0!</v>
      </c>
      <c r="H20" s="298"/>
    </row>
    <row r="21" spans="1:8" s="123" customFormat="1" ht="29.25" hidden="1" customHeight="1">
      <c r="A21" s="306"/>
      <c r="B21" s="307"/>
      <c r="C21" s="282"/>
      <c r="D21" s="279"/>
      <c r="E21" s="279"/>
      <c r="F21" s="280">
        <f t="shared" si="3"/>
        <v>0</v>
      </c>
      <c r="G21" s="305" t="e">
        <f t="shared" si="4"/>
        <v>#DIV/0!</v>
      </c>
      <c r="H21" s="298"/>
    </row>
    <row r="22" spans="1:8" s="123" customFormat="1" ht="29.25" hidden="1" customHeight="1">
      <c r="A22" s="294" t="s">
        <v>485</v>
      </c>
      <c r="B22" s="1695" t="s">
        <v>309</v>
      </c>
      <c r="C22" s="1695"/>
      <c r="D22" s="280">
        <v>0</v>
      </c>
      <c r="E22" s="280">
        <f>E23</f>
        <v>0</v>
      </c>
      <c r="F22" s="280">
        <f t="shared" si="3"/>
        <v>0</v>
      </c>
      <c r="G22" s="305">
        <v>0</v>
      </c>
      <c r="H22" s="298"/>
    </row>
    <row r="23" spans="1:8" s="123" customFormat="1" ht="29.25" hidden="1" customHeight="1">
      <c r="A23" s="297"/>
      <c r="B23" s="282" t="s">
        <v>485</v>
      </c>
      <c r="C23" s="282" t="s">
        <v>312</v>
      </c>
      <c r="D23" s="280">
        <v>0</v>
      </c>
      <c r="E23" s="280">
        <f>SUM(E24:E25)</f>
        <v>0</v>
      </c>
      <c r="F23" s="280">
        <f t="shared" si="3"/>
        <v>0</v>
      </c>
      <c r="G23" s="305">
        <v>0</v>
      </c>
      <c r="H23" s="298"/>
    </row>
    <row r="24" spans="1:8" s="123" customFormat="1" ht="29.25" hidden="1" customHeight="1">
      <c r="A24" s="306"/>
      <c r="B24" s="307"/>
      <c r="C24" s="282" t="s">
        <v>486</v>
      </c>
      <c r="D24" s="280">
        <v>0</v>
      </c>
      <c r="E24" s="280">
        <v>0</v>
      </c>
      <c r="F24" s="280">
        <f t="shared" si="3"/>
        <v>0</v>
      </c>
      <c r="G24" s="305">
        <v>0</v>
      </c>
      <c r="H24" s="298"/>
    </row>
    <row r="25" spans="1:8" s="123" customFormat="1" ht="29.25" hidden="1" customHeight="1">
      <c r="A25" s="306"/>
      <c r="B25" s="311"/>
      <c r="C25" s="282" t="s">
        <v>487</v>
      </c>
      <c r="D25" s="280">
        <v>0</v>
      </c>
      <c r="E25" s="280">
        <v>0</v>
      </c>
      <c r="F25" s="280">
        <f t="shared" si="3"/>
        <v>0</v>
      </c>
      <c r="G25" s="305">
        <v>0</v>
      </c>
      <c r="H25" s="298"/>
    </row>
    <row r="26" spans="1:8" s="123" customFormat="1" ht="29.25" hidden="1" customHeight="1">
      <c r="A26" s="294" t="s">
        <v>346</v>
      </c>
      <c r="B26" s="1576" t="s">
        <v>309</v>
      </c>
      <c r="C26" s="1577"/>
      <c r="D26" s="280">
        <v>0</v>
      </c>
      <c r="E26" s="280">
        <f>E27</f>
        <v>0</v>
      </c>
      <c r="F26" s="280">
        <f t="shared" si="3"/>
        <v>0</v>
      </c>
      <c r="G26" s="305">
        <v>0</v>
      </c>
      <c r="H26" s="298"/>
    </row>
    <row r="27" spans="1:8" s="123" customFormat="1" ht="29.25" hidden="1" customHeight="1">
      <c r="A27" s="306"/>
      <c r="B27" s="282" t="s">
        <v>346</v>
      </c>
      <c r="C27" s="282" t="s">
        <v>312</v>
      </c>
      <c r="D27" s="280">
        <v>0</v>
      </c>
      <c r="E27" s="280">
        <f>E28</f>
        <v>0</v>
      </c>
      <c r="F27" s="280">
        <f t="shared" si="3"/>
        <v>0</v>
      </c>
      <c r="G27" s="305">
        <v>0</v>
      </c>
      <c r="H27" s="298"/>
    </row>
    <row r="28" spans="1:8" s="123" customFormat="1" ht="29.25" hidden="1" customHeight="1">
      <c r="A28" s="306"/>
      <c r="B28" s="282"/>
      <c r="C28" s="282" t="s">
        <v>348</v>
      </c>
      <c r="D28" s="280">
        <v>0</v>
      </c>
      <c r="E28" s="280">
        <v>0</v>
      </c>
      <c r="F28" s="280">
        <f t="shared" si="3"/>
        <v>0</v>
      </c>
      <c r="G28" s="305">
        <v>0</v>
      </c>
      <c r="H28" s="298"/>
    </row>
    <row r="29" spans="1:8" s="123" customFormat="1" ht="29.25" customHeight="1">
      <c r="A29" s="312" t="s">
        <v>349</v>
      </c>
      <c r="B29" s="1696" t="s">
        <v>309</v>
      </c>
      <c r="C29" s="1696"/>
      <c r="D29" s="302">
        <v>15900000</v>
      </c>
      <c r="E29" s="302">
        <f>E30</f>
        <v>22458368</v>
      </c>
      <c r="F29" s="302">
        <f t="shared" si="3"/>
        <v>6558368</v>
      </c>
      <c r="G29" s="303">
        <f t="shared" si="4"/>
        <v>41.247597484276724</v>
      </c>
      <c r="H29" s="304"/>
    </row>
    <row r="30" spans="1:8" s="123" customFormat="1" ht="29.25" customHeight="1">
      <c r="A30" s="297"/>
      <c r="B30" s="282" t="s">
        <v>349</v>
      </c>
      <c r="C30" s="282" t="s">
        <v>312</v>
      </c>
      <c r="D30" s="280">
        <v>15900000</v>
      </c>
      <c r="E30" s="280">
        <f>SUM(E31:E32)</f>
        <v>22458368</v>
      </c>
      <c r="F30" s="280">
        <f t="shared" si="3"/>
        <v>6558368</v>
      </c>
      <c r="G30" s="305">
        <f t="shared" si="4"/>
        <v>41.247597484276724</v>
      </c>
      <c r="H30" s="298"/>
    </row>
    <row r="31" spans="1:8" s="123" customFormat="1" ht="43.5" customHeight="1">
      <c r="A31" s="306"/>
      <c r="B31" s="307"/>
      <c r="C31" s="282" t="s">
        <v>350</v>
      </c>
      <c r="D31" s="280">
        <v>15900000</v>
      </c>
      <c r="E31" s="280">
        <f>18629586+3008670+820112</f>
        <v>22458368</v>
      </c>
      <c r="F31" s="280">
        <f t="shared" si="3"/>
        <v>6558368</v>
      </c>
      <c r="G31" s="305">
        <f t="shared" si="4"/>
        <v>41.247597484276724</v>
      </c>
      <c r="H31" s="308" t="s">
        <v>878</v>
      </c>
    </row>
    <row r="32" spans="1:8" s="123" customFormat="1" ht="28.5" customHeight="1">
      <c r="A32" s="299"/>
      <c r="B32" s="309"/>
      <c r="C32" s="282" t="s">
        <v>352</v>
      </c>
      <c r="D32" s="280">
        <v>0</v>
      </c>
      <c r="E32" s="280">
        <v>0</v>
      </c>
      <c r="F32" s="280">
        <f t="shared" si="3"/>
        <v>0</v>
      </c>
      <c r="G32" s="305">
        <v>0</v>
      </c>
      <c r="H32" s="298"/>
    </row>
    <row r="33" spans="1:12" s="314" customFormat="1" ht="28.5" customHeight="1">
      <c r="A33" s="312" t="s">
        <v>353</v>
      </c>
      <c r="B33" s="1696" t="s">
        <v>309</v>
      </c>
      <c r="C33" s="1696"/>
      <c r="D33" s="302">
        <v>600000</v>
      </c>
      <c r="E33" s="302">
        <f>E34</f>
        <v>541632</v>
      </c>
      <c r="F33" s="302">
        <f t="shared" si="3"/>
        <v>-58368</v>
      </c>
      <c r="G33" s="303">
        <f t="shared" si="4"/>
        <v>-9.7279999999999998</v>
      </c>
      <c r="H33" s="313"/>
    </row>
    <row r="34" spans="1:12" s="314" customFormat="1" ht="28.5" customHeight="1">
      <c r="A34" s="297"/>
      <c r="B34" s="282" t="s">
        <v>353</v>
      </c>
      <c r="C34" s="282" t="s">
        <v>312</v>
      </c>
      <c r="D34" s="280">
        <v>600000</v>
      </c>
      <c r="E34" s="280">
        <f>SUM(E35:E37)</f>
        <v>541632</v>
      </c>
      <c r="F34" s="280">
        <f t="shared" si="3"/>
        <v>-58368</v>
      </c>
      <c r="G34" s="305">
        <f t="shared" si="4"/>
        <v>-9.7279999999999998</v>
      </c>
      <c r="H34" s="315"/>
    </row>
    <row r="35" spans="1:12" s="286" customFormat="1" ht="28.5" customHeight="1">
      <c r="A35" s="306"/>
      <c r="B35" s="307"/>
      <c r="C35" s="282" t="s">
        <v>356</v>
      </c>
      <c r="D35" s="280">
        <v>0</v>
      </c>
      <c r="E35" s="280">
        <v>0</v>
      </c>
      <c r="F35" s="280">
        <f t="shared" si="3"/>
        <v>0</v>
      </c>
      <c r="G35" s="305">
        <v>0</v>
      </c>
      <c r="H35" s="316"/>
    </row>
    <row r="36" spans="1:12" s="286" customFormat="1" ht="28.5" customHeight="1">
      <c r="A36" s="306"/>
      <c r="B36" s="311"/>
      <c r="C36" s="282" t="s">
        <v>358</v>
      </c>
      <c r="D36" s="280">
        <v>600000</v>
      </c>
      <c r="E36" s="280">
        <v>541632</v>
      </c>
      <c r="F36" s="280">
        <f t="shared" si="3"/>
        <v>-58368</v>
      </c>
      <c r="G36" s="305">
        <f t="shared" si="4"/>
        <v>-9.7279999999999998</v>
      </c>
      <c r="H36" s="316"/>
      <c r="L36" s="293">
        <f>시군구세출!E39+국도비세출!E61+자부담세입!D28+다.후원금세입!D31</f>
        <v>53487000</v>
      </c>
    </row>
    <row r="37" spans="1:12" ht="28.5" customHeight="1">
      <c r="A37" s="317"/>
      <c r="B37" s="318"/>
      <c r="C37" s="319" t="s">
        <v>359</v>
      </c>
      <c r="D37" s="281">
        <v>0</v>
      </c>
      <c r="E37" s="281">
        <v>0</v>
      </c>
      <c r="F37" s="281">
        <f t="shared" si="3"/>
        <v>0</v>
      </c>
      <c r="G37" s="320">
        <v>0</v>
      </c>
      <c r="H37" s="321"/>
      <c r="I37" s="123"/>
      <c r="J37" s="123"/>
      <c r="K37" s="123"/>
      <c r="L37" s="123"/>
    </row>
    <row r="38" spans="1:12" ht="23.25" customHeight="1">
      <c r="A38" s="322"/>
      <c r="B38" s="322"/>
      <c r="C38" s="322"/>
      <c r="D38" s="323"/>
      <c r="E38" s="322"/>
      <c r="F38" s="322"/>
      <c r="G38" s="322"/>
      <c r="H38" s="324"/>
      <c r="I38" s="123"/>
      <c r="J38" s="123"/>
      <c r="K38" s="123"/>
      <c r="L38" s="123"/>
    </row>
    <row r="39" spans="1:12">
      <c r="A39" s="83"/>
      <c r="B39" s="83"/>
      <c r="C39" s="83"/>
      <c r="D39" s="325"/>
      <c r="E39" s="83"/>
      <c r="F39" s="83"/>
      <c r="G39" s="83"/>
    </row>
    <row r="40" spans="1:12">
      <c r="A40" s="83"/>
      <c r="B40" s="83"/>
      <c r="C40" s="83"/>
      <c r="D40" s="325"/>
      <c r="E40" s="83"/>
      <c r="F40" s="83"/>
      <c r="G40" s="83"/>
    </row>
    <row r="41" spans="1:12">
      <c r="A41" s="83"/>
      <c r="B41" s="83"/>
      <c r="C41" s="83"/>
      <c r="D41" s="325"/>
      <c r="E41" s="83"/>
      <c r="F41" s="83"/>
      <c r="G41" s="83"/>
    </row>
    <row r="42" spans="1:12">
      <c r="A42" s="83"/>
      <c r="B42" s="83"/>
      <c r="C42" s="83"/>
      <c r="D42" s="325"/>
      <c r="E42" s="83"/>
      <c r="F42" s="83"/>
      <c r="G42" s="83"/>
    </row>
    <row r="43" spans="1:12">
      <c r="A43" s="83"/>
      <c r="B43" s="83"/>
      <c r="C43" s="83"/>
      <c r="D43" s="325"/>
      <c r="E43" s="83"/>
      <c r="F43" s="83"/>
      <c r="G43" s="83"/>
    </row>
    <row r="44" spans="1:12">
      <c r="A44" s="83"/>
      <c r="B44" s="83"/>
      <c r="C44" s="83"/>
      <c r="D44" s="325"/>
      <c r="E44" s="83"/>
      <c r="F44" s="83"/>
      <c r="G44" s="83"/>
    </row>
    <row r="45" spans="1:12">
      <c r="A45" s="83"/>
      <c r="B45" s="83"/>
      <c r="C45" s="83"/>
      <c r="D45" s="325"/>
      <c r="E45" s="83"/>
      <c r="F45" s="83"/>
      <c r="G45" s="83"/>
    </row>
    <row r="46" spans="1:12">
      <c r="A46" s="83"/>
      <c r="B46" s="83"/>
      <c r="C46" s="83"/>
      <c r="D46" s="325"/>
      <c r="E46" s="83"/>
      <c r="F46" s="83"/>
      <c r="G46" s="83"/>
    </row>
    <row r="47" spans="1:12">
      <c r="A47" s="83"/>
      <c r="B47" s="83"/>
      <c r="C47" s="83"/>
      <c r="D47" s="325"/>
      <c r="E47" s="83"/>
      <c r="F47" s="83"/>
      <c r="G47" s="83"/>
    </row>
    <row r="48" spans="1:12">
      <c r="A48" s="83"/>
      <c r="B48" s="83"/>
      <c r="C48" s="83"/>
      <c r="D48" s="325"/>
      <c r="E48" s="83"/>
      <c r="F48" s="83"/>
      <c r="G48" s="83"/>
    </row>
    <row r="49" spans="1:7">
      <c r="A49" s="83"/>
      <c r="B49" s="83"/>
      <c r="C49" s="83"/>
      <c r="D49" s="325"/>
      <c r="E49" s="83"/>
      <c r="F49" s="83"/>
      <c r="G49" s="83"/>
    </row>
    <row r="50" spans="1:7">
      <c r="A50" s="83"/>
      <c r="B50" s="83"/>
      <c r="C50" s="83"/>
      <c r="D50" s="325"/>
      <c r="E50" s="83"/>
      <c r="F50" s="83"/>
      <c r="G50" s="83"/>
    </row>
    <row r="51" spans="1:7">
      <c r="A51" s="83"/>
      <c r="B51" s="83"/>
      <c r="C51" s="83"/>
      <c r="D51" s="325"/>
      <c r="E51" s="83"/>
      <c r="F51" s="83"/>
      <c r="G51" s="83"/>
    </row>
    <row r="52" spans="1:7">
      <c r="A52" s="83"/>
      <c r="B52" s="83"/>
      <c r="C52" s="83"/>
      <c r="D52" s="325"/>
      <c r="E52" s="83"/>
      <c r="F52" s="83"/>
      <c r="G52" s="83"/>
    </row>
    <row r="53" spans="1:7">
      <c r="A53" s="83"/>
      <c r="B53" s="83"/>
      <c r="C53" s="83"/>
      <c r="D53" s="325"/>
      <c r="E53" s="83"/>
      <c r="F53" s="83"/>
      <c r="G53" s="83"/>
    </row>
    <row r="54" spans="1:7">
      <c r="A54" s="83"/>
      <c r="B54" s="83"/>
      <c r="C54" s="83"/>
      <c r="D54" s="325"/>
      <c r="E54" s="83"/>
      <c r="F54" s="83"/>
      <c r="G54" s="83"/>
    </row>
    <row r="55" spans="1:7">
      <c r="A55" s="83"/>
      <c r="B55" s="83"/>
      <c r="C55" s="83"/>
      <c r="D55" s="325"/>
      <c r="E55" s="83"/>
      <c r="F55" s="83"/>
      <c r="G55" s="83"/>
    </row>
    <row r="56" spans="1:7">
      <c r="A56" s="83"/>
      <c r="B56" s="83"/>
      <c r="C56" s="83"/>
      <c r="D56" s="325"/>
      <c r="E56" s="83"/>
      <c r="F56" s="83"/>
      <c r="G56" s="83"/>
    </row>
    <row r="57" spans="1:7">
      <c r="A57" s="83"/>
      <c r="B57" s="83"/>
      <c r="C57" s="83"/>
      <c r="D57" s="325"/>
      <c r="E57" s="83"/>
      <c r="F57" s="83"/>
      <c r="G57" s="83"/>
    </row>
    <row r="58" spans="1:7">
      <c r="A58" s="83"/>
      <c r="B58" s="83"/>
      <c r="C58" s="83"/>
      <c r="D58" s="325"/>
      <c r="E58" s="83"/>
      <c r="F58" s="83"/>
      <c r="G58" s="83"/>
    </row>
    <row r="59" spans="1:7">
      <c r="A59" s="83"/>
      <c r="B59" s="83"/>
      <c r="C59" s="83"/>
      <c r="D59" s="325"/>
      <c r="E59" s="83"/>
      <c r="F59" s="83"/>
      <c r="G59" s="83"/>
    </row>
    <row r="60" spans="1:7">
      <c r="A60" s="83"/>
      <c r="B60" s="83"/>
      <c r="C60" s="83"/>
      <c r="D60" s="325"/>
      <c r="E60" s="83"/>
      <c r="F60" s="83"/>
      <c r="G60" s="83"/>
    </row>
    <row r="61" spans="1:7">
      <c r="A61" s="83"/>
      <c r="B61" s="83"/>
      <c r="C61" s="83"/>
      <c r="D61" s="325"/>
      <c r="E61" s="83"/>
      <c r="F61" s="83"/>
      <c r="G61" s="83"/>
    </row>
    <row r="62" spans="1:7">
      <c r="A62" s="83"/>
      <c r="B62" s="83"/>
      <c r="C62" s="83"/>
      <c r="D62" s="325"/>
      <c r="E62" s="83"/>
      <c r="F62" s="83"/>
      <c r="G62" s="83"/>
    </row>
    <row r="63" spans="1:7">
      <c r="A63" s="83"/>
      <c r="B63" s="83"/>
      <c r="C63" s="83"/>
      <c r="D63" s="325"/>
      <c r="E63" s="83"/>
      <c r="F63" s="83"/>
      <c r="G63" s="83"/>
    </row>
    <row r="64" spans="1:7">
      <c r="A64" s="83"/>
      <c r="B64" s="83"/>
      <c r="C64" s="83"/>
      <c r="D64" s="325"/>
      <c r="E64" s="83"/>
      <c r="F64" s="83"/>
      <c r="G64" s="83"/>
    </row>
    <row r="65" spans="1:7">
      <c r="A65" s="83"/>
      <c r="B65" s="83"/>
      <c r="C65" s="83"/>
      <c r="D65" s="325"/>
      <c r="E65" s="83"/>
      <c r="F65" s="83"/>
      <c r="G65" s="83"/>
    </row>
    <row r="66" spans="1:7">
      <c r="A66" s="83"/>
      <c r="B66" s="83"/>
      <c r="C66" s="83"/>
      <c r="D66" s="325"/>
      <c r="E66" s="83"/>
      <c r="F66" s="83"/>
      <c r="G66" s="83"/>
    </row>
    <row r="67" spans="1:7" hidden="1">
      <c r="A67" s="83"/>
      <c r="B67" s="83"/>
      <c r="C67" s="83"/>
      <c r="D67" s="325"/>
      <c r="E67" s="83">
        <v>0</v>
      </c>
      <c r="F67" s="83"/>
      <c r="G67" s="83"/>
    </row>
    <row r="68" spans="1:7">
      <c r="A68" s="83"/>
      <c r="B68" s="83"/>
      <c r="C68" s="83"/>
      <c r="D68" s="325"/>
      <c r="E68" s="83"/>
      <c r="F68" s="83"/>
      <c r="G68" s="83"/>
    </row>
    <row r="69" spans="1:7">
      <c r="A69" s="83"/>
      <c r="B69" s="83"/>
      <c r="C69" s="83"/>
      <c r="D69" s="325"/>
      <c r="E69" s="83"/>
      <c r="F69" s="83"/>
      <c r="G69" s="83"/>
    </row>
    <row r="70" spans="1:7">
      <c r="A70" s="83"/>
      <c r="B70" s="83"/>
      <c r="C70" s="83"/>
      <c r="D70" s="325"/>
      <c r="E70" s="83"/>
      <c r="F70" s="83"/>
      <c r="G70" s="83"/>
    </row>
    <row r="71" spans="1:7">
      <c r="A71" s="83"/>
      <c r="B71" s="83"/>
      <c r="C71" s="83"/>
      <c r="D71" s="325"/>
      <c r="E71" s="83"/>
      <c r="F71" s="83"/>
      <c r="G71" s="83"/>
    </row>
    <row r="72" spans="1:7">
      <c r="A72" s="83"/>
      <c r="B72" s="83"/>
      <c r="C72" s="83"/>
      <c r="D72" s="325"/>
      <c r="E72" s="83"/>
      <c r="F72" s="83"/>
      <c r="G72" s="83"/>
    </row>
    <row r="73" spans="1:7" hidden="1">
      <c r="A73" s="83"/>
      <c r="B73" s="83"/>
      <c r="C73" s="83"/>
      <c r="D73" s="325"/>
      <c r="E73" s="83"/>
      <c r="F73" s="83"/>
      <c r="G73" s="83"/>
    </row>
    <row r="74" spans="1:7">
      <c r="A74" s="83"/>
      <c r="B74" s="83"/>
      <c r="C74" s="83"/>
      <c r="D74" s="325"/>
      <c r="E74" s="83"/>
      <c r="F74" s="83"/>
      <c r="G74" s="83"/>
    </row>
    <row r="75" spans="1:7">
      <c r="A75" s="83"/>
      <c r="B75" s="83"/>
      <c r="C75" s="83"/>
      <c r="D75" s="325"/>
      <c r="E75" s="83"/>
      <c r="F75" s="83"/>
      <c r="G75" s="83"/>
    </row>
    <row r="76" spans="1:7">
      <c r="A76" s="83"/>
      <c r="B76" s="83"/>
      <c r="C76" s="83"/>
      <c r="D76" s="325"/>
      <c r="E76" s="83"/>
      <c r="F76" s="83"/>
      <c r="G76" s="83"/>
    </row>
    <row r="77" spans="1:7">
      <c r="A77" s="83"/>
      <c r="B77" s="83"/>
      <c r="C77" s="83"/>
      <c r="D77" s="325"/>
      <c r="E77" s="83"/>
      <c r="F77" s="83"/>
      <c r="G77" s="83"/>
    </row>
    <row r="78" spans="1:7">
      <c r="A78" s="83"/>
      <c r="B78" s="83"/>
      <c r="C78" s="83"/>
      <c r="D78" s="325"/>
      <c r="E78" s="83"/>
      <c r="F78" s="83"/>
      <c r="G78" s="83"/>
    </row>
    <row r="79" spans="1:7">
      <c r="A79" s="83"/>
      <c r="B79" s="83"/>
      <c r="C79" s="83"/>
      <c r="D79" s="325"/>
      <c r="E79" s="83"/>
      <c r="F79" s="83"/>
      <c r="G79" s="83"/>
    </row>
    <row r="80" spans="1:7">
      <c r="A80" s="83"/>
      <c r="B80" s="83"/>
      <c r="C80" s="83"/>
      <c r="D80" s="325"/>
      <c r="E80" s="83"/>
      <c r="F80" s="83"/>
      <c r="G80" s="83"/>
    </row>
    <row r="81" spans="1:7">
      <c r="A81" s="83"/>
      <c r="B81" s="83"/>
      <c r="C81" s="83"/>
      <c r="D81" s="325"/>
      <c r="E81" s="83"/>
      <c r="F81" s="83"/>
      <c r="G81" s="83"/>
    </row>
  </sheetData>
  <mergeCells count="16">
    <mergeCell ref="B22:C22"/>
    <mergeCell ref="B26:C26"/>
    <mergeCell ref="B29:C29"/>
    <mergeCell ref="B33:C33"/>
    <mergeCell ref="H4:H5"/>
    <mergeCell ref="A6:C6"/>
    <mergeCell ref="B7:C7"/>
    <mergeCell ref="B10:C10"/>
    <mergeCell ref="B13:C13"/>
    <mergeCell ref="B16:C16"/>
    <mergeCell ref="F4:G4"/>
    <mergeCell ref="A1:C1"/>
    <mergeCell ref="A2:C2"/>
    <mergeCell ref="A4:C4"/>
    <mergeCell ref="D4:D5"/>
    <mergeCell ref="E4:E5"/>
  </mergeCells>
  <phoneticPr fontId="7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8"/>
  <sheetViews>
    <sheetView topLeftCell="A19" workbookViewId="0">
      <selection activeCell="W43" sqref="W43"/>
    </sheetView>
  </sheetViews>
  <sheetFormatPr defaultRowHeight="13.5"/>
  <cols>
    <col min="1" max="2" width="12.25" style="52" customWidth="1"/>
    <col min="3" max="3" width="12.875" style="52" customWidth="1"/>
    <col min="4" max="4" width="14.375" style="124" customWidth="1"/>
    <col min="5" max="6" width="14.375" style="52" customWidth="1"/>
    <col min="7" max="7" width="7.625" style="52" customWidth="1"/>
    <col min="8" max="8" width="40.625" style="52" customWidth="1"/>
    <col min="9" max="9" width="13" style="124" customWidth="1"/>
    <col min="10" max="10" width="14.75" style="52" hidden="1" customWidth="1"/>
    <col min="11" max="11" width="5.625" style="52" customWidth="1"/>
    <col min="12" max="12" width="12.125" style="52" customWidth="1"/>
    <col min="13" max="16384" width="9" style="123"/>
  </cols>
  <sheetData>
    <row r="1" spans="1:10" s="55" customFormat="1" ht="22.5" customHeight="1">
      <c r="A1" s="1581" t="s">
        <v>478</v>
      </c>
      <c r="B1" s="1582"/>
      <c r="C1" s="1582"/>
      <c r="D1" s="51"/>
      <c r="E1" s="123"/>
      <c r="F1" s="53"/>
      <c r="G1" s="53"/>
    </row>
    <row r="2" spans="1:10" s="55" customFormat="1" ht="22.5" customHeight="1">
      <c r="A2" s="1510" t="s">
        <v>488</v>
      </c>
      <c r="B2" s="1510"/>
      <c r="C2" s="1510"/>
      <c r="D2" s="51"/>
      <c r="E2" s="123"/>
      <c r="F2" s="53"/>
      <c r="G2" s="53"/>
    </row>
    <row r="3" spans="1:10" s="55" customFormat="1" ht="22.5" customHeight="1">
      <c r="A3" s="53"/>
      <c r="B3" s="53"/>
      <c r="C3" s="53"/>
      <c r="D3" s="51"/>
      <c r="E3" s="53"/>
      <c r="F3" s="53"/>
      <c r="G3" s="53"/>
      <c r="H3" s="58" t="s">
        <v>298</v>
      </c>
    </row>
    <row r="4" spans="1:10" s="286" customFormat="1" ht="33.75" customHeight="1">
      <c r="A4" s="1693" t="s">
        <v>301</v>
      </c>
      <c r="B4" s="1694"/>
      <c r="C4" s="1694"/>
      <c r="D4" s="1515" t="str">
        <f>[1]다.국도시세입!E4:E5</f>
        <v>당초예산
( A )</v>
      </c>
      <c r="E4" s="1517" t="str">
        <f>[1]다.국도시세입!F4:F5</f>
        <v>1차추경
( B )</v>
      </c>
      <c r="F4" s="1517" t="s">
        <v>304</v>
      </c>
      <c r="G4" s="1517"/>
      <c r="H4" s="1697" t="s">
        <v>481</v>
      </c>
    </row>
    <row r="5" spans="1:10" s="286" customFormat="1" ht="33.75" customHeight="1" thickBot="1">
      <c r="A5" s="287" t="s">
        <v>1</v>
      </c>
      <c r="B5" s="64" t="s">
        <v>2</v>
      </c>
      <c r="C5" s="64" t="s">
        <v>3</v>
      </c>
      <c r="D5" s="1516"/>
      <c r="E5" s="1518"/>
      <c r="F5" s="64" t="s">
        <v>305</v>
      </c>
      <c r="G5" s="63" t="s">
        <v>306</v>
      </c>
      <c r="H5" s="1698"/>
    </row>
    <row r="6" spans="1:10" s="286" customFormat="1" ht="30" customHeight="1" thickTop="1">
      <c r="A6" s="1499" t="s">
        <v>482</v>
      </c>
      <c r="B6" s="1699"/>
      <c r="C6" s="1699"/>
      <c r="D6" s="290">
        <v>226800000</v>
      </c>
      <c r="E6" s="290">
        <f>E7+E10+E13+E16+E19+E23+E26+E30</f>
        <v>256950000</v>
      </c>
      <c r="F6" s="290">
        <f>F7+F10+F13+F16+F19+F23+F26+F30</f>
        <v>30150000</v>
      </c>
      <c r="G6" s="291">
        <f>F6/D6*100</f>
        <v>13.293650793650794</v>
      </c>
      <c r="H6" s="292"/>
      <c r="J6" s="293">
        <f>E6-'[1]라-2.자부담세출'!F6</f>
        <v>0</v>
      </c>
    </row>
    <row r="7" spans="1:10" s="123" customFormat="1" ht="30" customHeight="1">
      <c r="A7" s="294" t="s">
        <v>308</v>
      </c>
      <c r="B7" s="1695" t="s">
        <v>309</v>
      </c>
      <c r="C7" s="1695"/>
      <c r="D7" s="279">
        <v>134400000</v>
      </c>
      <c r="E7" s="279">
        <f t="shared" ref="E7:F8" si="0">E8</f>
        <v>134400000</v>
      </c>
      <c r="F7" s="279">
        <f>F8</f>
        <v>0</v>
      </c>
      <c r="G7" s="328">
        <f>F7/D7*100</f>
        <v>0</v>
      </c>
      <c r="H7" s="296"/>
    </row>
    <row r="8" spans="1:10" s="123" customFormat="1" ht="30" customHeight="1">
      <c r="A8" s="297"/>
      <c r="B8" s="282" t="s">
        <v>311</v>
      </c>
      <c r="C8" s="282" t="s">
        <v>312</v>
      </c>
      <c r="D8" s="280">
        <v>134400000</v>
      </c>
      <c r="E8" s="280">
        <f t="shared" si="0"/>
        <v>134400000</v>
      </c>
      <c r="F8" s="280">
        <f t="shared" si="0"/>
        <v>0</v>
      </c>
      <c r="G8" s="328">
        <f>F8/D8*100</f>
        <v>0</v>
      </c>
      <c r="H8" s="298"/>
    </row>
    <row r="9" spans="1:10" s="123" customFormat="1" ht="25.5" customHeight="1">
      <c r="A9" s="299"/>
      <c r="B9" s="282"/>
      <c r="C9" s="282" t="s">
        <v>311</v>
      </c>
      <c r="D9" s="280">
        <v>134400000</v>
      </c>
      <c r="E9" s="280">
        <v>134400000</v>
      </c>
      <c r="F9" s="280">
        <f>E9-D9</f>
        <v>0</v>
      </c>
      <c r="G9" s="328">
        <f>F9/D9*100</f>
        <v>0</v>
      </c>
      <c r="H9" s="308" t="s">
        <v>489</v>
      </c>
    </row>
    <row r="10" spans="1:10" s="123" customFormat="1" ht="30" customHeight="1">
      <c r="A10" s="294" t="s">
        <v>314</v>
      </c>
      <c r="B10" s="1695" t="s">
        <v>309</v>
      </c>
      <c r="C10" s="1695"/>
      <c r="D10" s="279">
        <v>0</v>
      </c>
      <c r="E10" s="279">
        <f t="shared" ref="E10:F11" si="1">E11</f>
        <v>0</v>
      </c>
      <c r="F10" s="279">
        <f t="shared" si="1"/>
        <v>0</v>
      </c>
      <c r="G10" s="328">
        <v>0</v>
      </c>
      <c r="H10" s="298"/>
    </row>
    <row r="11" spans="1:10" s="123" customFormat="1" ht="30" customHeight="1">
      <c r="A11" s="297"/>
      <c r="B11" s="282" t="s">
        <v>314</v>
      </c>
      <c r="C11" s="282" t="s">
        <v>312</v>
      </c>
      <c r="D11" s="279">
        <v>0</v>
      </c>
      <c r="E11" s="279">
        <f t="shared" si="1"/>
        <v>0</v>
      </c>
      <c r="F11" s="279">
        <f t="shared" si="1"/>
        <v>0</v>
      </c>
      <c r="G11" s="328">
        <v>0</v>
      </c>
      <c r="H11" s="298"/>
    </row>
    <row r="12" spans="1:10" s="123" customFormat="1" ht="30" customHeight="1">
      <c r="A12" s="299"/>
      <c r="B12" s="282"/>
      <c r="C12" s="329" t="s">
        <v>316</v>
      </c>
      <c r="D12" s="279">
        <v>0</v>
      </c>
      <c r="E12" s="279">
        <v>0</v>
      </c>
      <c r="F12" s="280">
        <f>E12-D12</f>
        <v>0</v>
      </c>
      <c r="G12" s="328">
        <v>0</v>
      </c>
      <c r="H12" s="330">
        <v>0</v>
      </c>
    </row>
    <row r="13" spans="1:10" s="123" customFormat="1" ht="30" customHeight="1">
      <c r="A13" s="294" t="s">
        <v>318</v>
      </c>
      <c r="B13" s="1695" t="s">
        <v>309</v>
      </c>
      <c r="C13" s="1695"/>
      <c r="D13" s="279">
        <v>0</v>
      </c>
      <c r="E13" s="279">
        <f t="shared" ref="E13:F14" si="2">E14</f>
        <v>0</v>
      </c>
      <c r="F13" s="279">
        <f t="shared" si="2"/>
        <v>0</v>
      </c>
      <c r="G13" s="328">
        <v>0</v>
      </c>
      <c r="H13" s="298"/>
    </row>
    <row r="14" spans="1:10" s="123" customFormat="1" ht="30" customHeight="1">
      <c r="A14" s="297"/>
      <c r="B14" s="282" t="s">
        <v>318</v>
      </c>
      <c r="C14" s="282" t="s">
        <v>312</v>
      </c>
      <c r="D14" s="279">
        <v>0</v>
      </c>
      <c r="E14" s="279">
        <f t="shared" si="2"/>
        <v>0</v>
      </c>
      <c r="F14" s="279">
        <f t="shared" si="2"/>
        <v>0</v>
      </c>
      <c r="G14" s="328">
        <v>0</v>
      </c>
      <c r="H14" s="298"/>
    </row>
    <row r="15" spans="1:10" s="123" customFormat="1" ht="30" customHeight="1">
      <c r="A15" s="299"/>
      <c r="B15" s="282"/>
      <c r="C15" s="282" t="s">
        <v>318</v>
      </c>
      <c r="D15" s="279">
        <v>0</v>
      </c>
      <c r="E15" s="279">
        <v>0</v>
      </c>
      <c r="F15" s="280">
        <f>E15-D15</f>
        <v>0</v>
      </c>
      <c r="G15" s="328">
        <v>0</v>
      </c>
      <c r="H15" s="298"/>
    </row>
    <row r="16" spans="1:10" s="123" customFormat="1" ht="30" customHeight="1">
      <c r="A16" s="294" t="s">
        <v>322</v>
      </c>
      <c r="B16" s="1695" t="s">
        <v>309</v>
      </c>
      <c r="C16" s="1695"/>
      <c r="D16" s="279">
        <v>0</v>
      </c>
      <c r="E16" s="279">
        <f t="shared" ref="E16:F17" si="3">E17</f>
        <v>0</v>
      </c>
      <c r="F16" s="279">
        <f t="shared" si="3"/>
        <v>0</v>
      </c>
      <c r="G16" s="328">
        <v>0</v>
      </c>
      <c r="H16" s="298"/>
    </row>
    <row r="17" spans="1:8" s="123" customFormat="1" ht="30" customHeight="1">
      <c r="A17" s="297"/>
      <c r="B17" s="282"/>
      <c r="C17" s="282" t="s">
        <v>312</v>
      </c>
      <c r="D17" s="279">
        <v>0</v>
      </c>
      <c r="E17" s="279">
        <f t="shared" si="3"/>
        <v>0</v>
      </c>
      <c r="F17" s="279">
        <f t="shared" si="3"/>
        <v>0</v>
      </c>
      <c r="G17" s="328">
        <v>0</v>
      </c>
      <c r="H17" s="298"/>
    </row>
    <row r="18" spans="1:8" s="123" customFormat="1" ht="30" customHeight="1">
      <c r="A18" s="299"/>
      <c r="B18" s="282"/>
      <c r="C18" s="282"/>
      <c r="D18" s="279">
        <v>0</v>
      </c>
      <c r="E18" s="279">
        <v>0</v>
      </c>
      <c r="F18" s="279">
        <f>C18-B18</f>
        <v>0</v>
      </c>
      <c r="G18" s="328">
        <v>0</v>
      </c>
      <c r="H18" s="298"/>
    </row>
    <row r="19" spans="1:8" s="123" customFormat="1" ht="30" customHeight="1">
      <c r="A19" s="294" t="s">
        <v>485</v>
      </c>
      <c r="B19" s="1695" t="s">
        <v>309</v>
      </c>
      <c r="C19" s="1695"/>
      <c r="D19" s="280">
        <v>0</v>
      </c>
      <c r="E19" s="280">
        <f>E20</f>
        <v>0</v>
      </c>
      <c r="F19" s="280">
        <f>F20</f>
        <v>0</v>
      </c>
      <c r="G19" s="328">
        <v>0</v>
      </c>
      <c r="H19" s="298"/>
    </row>
    <row r="20" spans="1:8" s="123" customFormat="1" ht="30" customHeight="1">
      <c r="A20" s="297"/>
      <c r="B20" s="282" t="s">
        <v>485</v>
      </c>
      <c r="C20" s="282" t="s">
        <v>312</v>
      </c>
      <c r="D20" s="280">
        <v>0</v>
      </c>
      <c r="E20" s="280">
        <f>SUM(E21:E22)</f>
        <v>0</v>
      </c>
      <c r="F20" s="280">
        <f>SUM(F21:F22)</f>
        <v>0</v>
      </c>
      <c r="G20" s="328">
        <v>0</v>
      </c>
      <c r="H20" s="298"/>
    </row>
    <row r="21" spans="1:8" s="123" customFormat="1" ht="30" customHeight="1">
      <c r="A21" s="306"/>
      <c r="B21" s="307"/>
      <c r="C21" s="282" t="s">
        <v>486</v>
      </c>
      <c r="D21" s="280">
        <v>0</v>
      </c>
      <c r="E21" s="280">
        <v>0</v>
      </c>
      <c r="F21" s="280">
        <f>E21-D21</f>
        <v>0</v>
      </c>
      <c r="G21" s="328">
        <v>0</v>
      </c>
      <c r="H21" s="298"/>
    </row>
    <row r="22" spans="1:8" s="123" customFormat="1" ht="30" customHeight="1">
      <c r="A22" s="306"/>
      <c r="B22" s="311"/>
      <c r="C22" s="282" t="s">
        <v>487</v>
      </c>
      <c r="D22" s="280">
        <v>0</v>
      </c>
      <c r="E22" s="280">
        <v>0</v>
      </c>
      <c r="F22" s="280">
        <f>E22-D22</f>
        <v>0</v>
      </c>
      <c r="G22" s="328">
        <v>0</v>
      </c>
      <c r="H22" s="298"/>
    </row>
    <row r="23" spans="1:8" s="123" customFormat="1" ht="30" customHeight="1">
      <c r="A23" s="294" t="s">
        <v>346</v>
      </c>
      <c r="B23" s="1576" t="s">
        <v>309</v>
      </c>
      <c r="C23" s="1577"/>
      <c r="D23" s="280">
        <v>40000000</v>
      </c>
      <c r="E23" s="280">
        <f>E24</f>
        <v>40000000</v>
      </c>
      <c r="F23" s="280">
        <f>F24</f>
        <v>0</v>
      </c>
      <c r="G23" s="328">
        <f t="shared" ref="G23:G34" si="4">F23/D23*100</f>
        <v>0</v>
      </c>
      <c r="H23" s="298"/>
    </row>
    <row r="24" spans="1:8" s="123" customFormat="1" ht="30" customHeight="1">
      <c r="A24" s="306"/>
      <c r="B24" s="282" t="s">
        <v>346</v>
      </c>
      <c r="C24" s="282" t="s">
        <v>312</v>
      </c>
      <c r="D24" s="280">
        <v>40000000</v>
      </c>
      <c r="E24" s="280">
        <f>E25</f>
        <v>40000000</v>
      </c>
      <c r="F24" s="280">
        <f>F25</f>
        <v>0</v>
      </c>
      <c r="G24" s="328">
        <f t="shared" si="4"/>
        <v>0</v>
      </c>
      <c r="H24" s="298"/>
    </row>
    <row r="25" spans="1:8" s="123" customFormat="1" ht="29.25" customHeight="1">
      <c r="A25" s="306"/>
      <c r="B25" s="282"/>
      <c r="C25" s="282" t="s">
        <v>348</v>
      </c>
      <c r="D25" s="280">
        <v>40000000</v>
      </c>
      <c r="E25" s="280">
        <v>40000000</v>
      </c>
      <c r="F25" s="280">
        <f>E25-D25</f>
        <v>0</v>
      </c>
      <c r="G25" s="328">
        <f t="shared" si="4"/>
        <v>0</v>
      </c>
      <c r="H25" s="308"/>
    </row>
    <row r="26" spans="1:8" s="123" customFormat="1" ht="30" customHeight="1">
      <c r="A26" s="294" t="s">
        <v>349</v>
      </c>
      <c r="B26" s="1695" t="s">
        <v>309</v>
      </c>
      <c r="C26" s="1695"/>
      <c r="D26" s="280">
        <v>6300000</v>
      </c>
      <c r="E26" s="280">
        <f>E27</f>
        <v>22433122</v>
      </c>
      <c r="F26" s="280">
        <f>F27</f>
        <v>16133122</v>
      </c>
      <c r="G26" s="328">
        <f t="shared" si="4"/>
        <v>256.0813015873016</v>
      </c>
      <c r="H26" s="298"/>
    </row>
    <row r="27" spans="1:8" s="123" customFormat="1" ht="30" customHeight="1">
      <c r="A27" s="297"/>
      <c r="B27" s="282" t="s">
        <v>349</v>
      </c>
      <c r="C27" s="282" t="s">
        <v>312</v>
      </c>
      <c r="D27" s="280">
        <v>6300000</v>
      </c>
      <c r="E27" s="280">
        <f>SUM(E28:E29)</f>
        <v>22433122</v>
      </c>
      <c r="F27" s="280">
        <f>SUM(F28:F29)</f>
        <v>16133122</v>
      </c>
      <c r="G27" s="328">
        <f t="shared" si="4"/>
        <v>256.0813015873016</v>
      </c>
      <c r="H27" s="298"/>
    </row>
    <row r="28" spans="1:8" s="123" customFormat="1" ht="62.25" customHeight="1">
      <c r="A28" s="306"/>
      <c r="B28" s="307"/>
      <c r="C28" s="282" t="s">
        <v>350</v>
      </c>
      <c r="D28" s="280">
        <v>6300000</v>
      </c>
      <c r="E28" s="280">
        <f>9105019+3080563+2970859+7098481+160842+17358</f>
        <v>22433122</v>
      </c>
      <c r="F28" s="280">
        <f>E28-D28</f>
        <v>16133122</v>
      </c>
      <c r="G28" s="328">
        <f t="shared" si="4"/>
        <v>256.0813015873016</v>
      </c>
      <c r="H28" s="308" t="s">
        <v>490</v>
      </c>
    </row>
    <row r="29" spans="1:8" s="123" customFormat="1" ht="30" customHeight="1">
      <c r="A29" s="299"/>
      <c r="B29" s="309"/>
      <c r="C29" s="282" t="s">
        <v>352</v>
      </c>
      <c r="D29" s="280">
        <v>0</v>
      </c>
      <c r="E29" s="280">
        <v>0</v>
      </c>
      <c r="F29" s="280">
        <f>E29-D29</f>
        <v>0</v>
      </c>
      <c r="G29" s="328">
        <v>0</v>
      </c>
      <c r="H29" s="298"/>
    </row>
    <row r="30" spans="1:8" s="314" customFormat="1" ht="30" customHeight="1">
      <c r="A30" s="294" t="s">
        <v>353</v>
      </c>
      <c r="B30" s="1695" t="s">
        <v>309</v>
      </c>
      <c r="C30" s="1695"/>
      <c r="D30" s="280">
        <v>46100000</v>
      </c>
      <c r="E30" s="280">
        <f>E31</f>
        <v>60116878</v>
      </c>
      <c r="F30" s="280">
        <f>F31</f>
        <v>14016878</v>
      </c>
      <c r="G30" s="328">
        <f t="shared" si="4"/>
        <v>30.405375271149676</v>
      </c>
      <c r="H30" s="315"/>
    </row>
    <row r="31" spans="1:8" s="314" customFormat="1" ht="30" customHeight="1">
      <c r="A31" s="297"/>
      <c r="B31" s="282" t="s">
        <v>353</v>
      </c>
      <c r="C31" s="282" t="s">
        <v>312</v>
      </c>
      <c r="D31" s="280">
        <v>46100000</v>
      </c>
      <c r="E31" s="280">
        <f>SUM(E32:E34)</f>
        <v>60116878</v>
      </c>
      <c r="F31" s="280">
        <f>SUM(F32:F34)</f>
        <v>14016878</v>
      </c>
      <c r="G31" s="328">
        <f t="shared" si="4"/>
        <v>30.405375271149676</v>
      </c>
      <c r="H31" s="315"/>
    </row>
    <row r="32" spans="1:8" s="286" customFormat="1" ht="30" customHeight="1">
      <c r="A32" s="306"/>
      <c r="B32" s="307"/>
      <c r="C32" s="282" t="s">
        <v>356</v>
      </c>
      <c r="D32" s="280">
        <v>500000</v>
      </c>
      <c r="E32" s="280">
        <v>500000</v>
      </c>
      <c r="F32" s="280">
        <f>E32-D32</f>
        <v>0</v>
      </c>
      <c r="G32" s="328">
        <f t="shared" si="4"/>
        <v>0</v>
      </c>
      <c r="H32" s="316"/>
    </row>
    <row r="33" spans="1:12" s="286" customFormat="1" ht="30" customHeight="1">
      <c r="A33" s="306"/>
      <c r="B33" s="311"/>
      <c r="C33" s="329" t="s">
        <v>358</v>
      </c>
      <c r="D33" s="280">
        <v>550000</v>
      </c>
      <c r="E33" s="280">
        <v>566878</v>
      </c>
      <c r="F33" s="280">
        <f>E33-D33</f>
        <v>16878</v>
      </c>
      <c r="G33" s="328">
        <f t="shared" si="4"/>
        <v>3.0687272727272727</v>
      </c>
      <c r="H33" s="316"/>
    </row>
    <row r="34" spans="1:12" ht="30" customHeight="1">
      <c r="A34" s="317"/>
      <c r="B34" s="318"/>
      <c r="C34" s="319" t="s">
        <v>359</v>
      </c>
      <c r="D34" s="281">
        <v>45050000</v>
      </c>
      <c r="E34" s="281">
        <v>59050000</v>
      </c>
      <c r="F34" s="281">
        <f>E34-D34</f>
        <v>14000000</v>
      </c>
      <c r="G34" s="331">
        <f t="shared" si="4"/>
        <v>31.076581576026634</v>
      </c>
      <c r="H34" s="321" t="s">
        <v>491</v>
      </c>
      <c r="I34" s="123"/>
      <c r="J34" s="123"/>
      <c r="K34" s="123"/>
      <c r="L34" s="123"/>
    </row>
    <row r="35" spans="1:12" ht="18.75" customHeight="1">
      <c r="A35" s="322"/>
      <c r="B35" s="322"/>
      <c r="C35" s="322"/>
      <c r="D35" s="323"/>
      <c r="E35" s="322"/>
      <c r="F35" s="322"/>
      <c r="G35" s="322"/>
      <c r="H35" s="324"/>
      <c r="I35" s="123"/>
      <c r="J35" s="123"/>
      <c r="K35" s="123"/>
      <c r="L35" s="123"/>
    </row>
    <row r="36" spans="1:12">
      <c r="A36" s="83"/>
      <c r="B36" s="83"/>
      <c r="C36" s="83"/>
      <c r="D36" s="325"/>
      <c r="E36" s="83"/>
      <c r="F36" s="83"/>
      <c r="G36" s="83"/>
    </row>
    <row r="37" spans="1:12">
      <c r="A37" s="83"/>
      <c r="B37" s="83"/>
      <c r="C37" s="83"/>
      <c r="D37" s="325"/>
      <c r="E37" s="83"/>
      <c r="F37" s="83"/>
      <c r="G37" s="83"/>
    </row>
    <row r="38" spans="1:12">
      <c r="A38" s="83"/>
      <c r="B38" s="83"/>
      <c r="C38" s="83"/>
      <c r="D38" s="325"/>
      <c r="E38" s="83"/>
      <c r="F38" s="83"/>
      <c r="G38" s="83"/>
    </row>
    <row r="39" spans="1:12">
      <c r="A39" s="83"/>
      <c r="B39" s="83"/>
      <c r="C39" s="83"/>
      <c r="D39" s="325"/>
      <c r="E39" s="83"/>
      <c r="F39" s="83"/>
      <c r="G39" s="83"/>
    </row>
    <row r="40" spans="1:12">
      <c r="A40" s="83"/>
      <c r="B40" s="83"/>
      <c r="C40" s="83"/>
      <c r="D40" s="325"/>
      <c r="E40" s="83"/>
      <c r="F40" s="83"/>
      <c r="G40" s="83"/>
    </row>
    <row r="41" spans="1:12">
      <c r="A41" s="83"/>
      <c r="B41" s="83"/>
      <c r="C41" s="83"/>
      <c r="D41" s="325"/>
      <c r="E41" s="83"/>
      <c r="F41" s="83"/>
      <c r="G41" s="83"/>
    </row>
    <row r="42" spans="1:12">
      <c r="A42" s="83"/>
      <c r="B42" s="83"/>
      <c r="C42" s="83"/>
      <c r="D42" s="325"/>
      <c r="E42" s="83"/>
      <c r="F42" s="83"/>
      <c r="G42" s="83"/>
    </row>
    <row r="43" spans="1:12">
      <c r="A43" s="83"/>
      <c r="B43" s="83"/>
      <c r="C43" s="83"/>
      <c r="D43" s="325"/>
      <c r="E43" s="83"/>
      <c r="F43" s="83"/>
      <c r="G43" s="83"/>
    </row>
    <row r="44" spans="1:12">
      <c r="A44" s="83"/>
      <c r="B44" s="83"/>
      <c r="C44" s="83"/>
      <c r="D44" s="325"/>
      <c r="E44" s="83"/>
      <c r="F44" s="83"/>
      <c r="G44" s="83"/>
    </row>
    <row r="45" spans="1:12">
      <c r="A45" s="83"/>
      <c r="B45" s="83"/>
      <c r="C45" s="83"/>
      <c r="D45" s="325"/>
      <c r="E45" s="83"/>
      <c r="F45" s="83"/>
      <c r="G45" s="83"/>
    </row>
    <row r="46" spans="1:12">
      <c r="A46" s="83"/>
      <c r="B46" s="83"/>
      <c r="C46" s="83"/>
      <c r="D46" s="325"/>
      <c r="E46" s="83"/>
      <c r="F46" s="83"/>
      <c r="G46" s="83"/>
    </row>
    <row r="47" spans="1:12">
      <c r="A47" s="83"/>
      <c r="B47" s="83"/>
      <c r="C47" s="83"/>
      <c r="D47" s="325"/>
      <c r="E47" s="83"/>
      <c r="F47" s="83"/>
      <c r="G47" s="83"/>
    </row>
    <row r="48" spans="1:12">
      <c r="A48" s="83"/>
      <c r="B48" s="83"/>
      <c r="C48" s="83"/>
      <c r="D48" s="325"/>
      <c r="E48" s="83"/>
      <c r="F48" s="83"/>
      <c r="G48" s="83"/>
    </row>
    <row r="49" spans="1:7">
      <c r="A49" s="83"/>
      <c r="B49" s="83"/>
      <c r="C49" s="83"/>
      <c r="D49" s="325"/>
      <c r="E49" s="83"/>
      <c r="F49" s="83"/>
      <c r="G49" s="83"/>
    </row>
    <row r="50" spans="1:7">
      <c r="A50" s="83"/>
      <c r="B50" s="83"/>
      <c r="C50" s="83"/>
      <c r="D50" s="325"/>
      <c r="E50" s="83"/>
      <c r="F50" s="83"/>
      <c r="G50" s="83"/>
    </row>
    <row r="51" spans="1:7">
      <c r="A51" s="83"/>
      <c r="B51" s="83"/>
      <c r="C51" s="83"/>
      <c r="D51" s="325"/>
      <c r="E51" s="83"/>
      <c r="F51" s="83"/>
      <c r="G51" s="83"/>
    </row>
    <row r="52" spans="1:7">
      <c r="A52" s="83"/>
      <c r="B52" s="83"/>
      <c r="C52" s="83"/>
      <c r="D52" s="325"/>
      <c r="E52" s="83"/>
      <c r="F52" s="83"/>
      <c r="G52" s="83"/>
    </row>
    <row r="53" spans="1:7">
      <c r="A53" s="83"/>
      <c r="B53" s="83"/>
      <c r="C53" s="83"/>
      <c r="D53" s="325"/>
      <c r="E53" s="83"/>
      <c r="F53" s="83"/>
      <c r="G53" s="83"/>
    </row>
    <row r="54" spans="1:7">
      <c r="A54" s="83"/>
      <c r="B54" s="83"/>
      <c r="C54" s="83"/>
      <c r="D54" s="325"/>
      <c r="E54" s="83"/>
      <c r="F54" s="83"/>
      <c r="G54" s="83"/>
    </row>
    <row r="55" spans="1:7">
      <c r="A55" s="83"/>
      <c r="B55" s="83"/>
      <c r="C55" s="83"/>
      <c r="D55" s="325"/>
      <c r="E55" s="83"/>
      <c r="F55" s="83"/>
      <c r="G55" s="83"/>
    </row>
    <row r="56" spans="1:7">
      <c r="A56" s="83"/>
      <c r="B56" s="83"/>
      <c r="C56" s="83"/>
      <c r="D56" s="325"/>
      <c r="E56" s="83"/>
      <c r="F56" s="83"/>
      <c r="G56" s="83"/>
    </row>
    <row r="57" spans="1:7">
      <c r="A57" s="83"/>
      <c r="B57" s="83"/>
      <c r="C57" s="83"/>
      <c r="D57" s="325"/>
      <c r="E57" s="83"/>
      <c r="F57" s="83"/>
      <c r="G57" s="83"/>
    </row>
    <row r="58" spans="1:7">
      <c r="A58" s="83"/>
      <c r="B58" s="83"/>
      <c r="C58" s="83"/>
      <c r="D58" s="325"/>
      <c r="E58" s="83"/>
      <c r="F58" s="83"/>
      <c r="G58" s="83"/>
    </row>
    <row r="59" spans="1:7">
      <c r="A59" s="83"/>
      <c r="B59" s="83"/>
      <c r="C59" s="83"/>
      <c r="D59" s="325"/>
      <c r="E59" s="83"/>
      <c r="F59" s="83"/>
      <c r="G59" s="83"/>
    </row>
    <row r="60" spans="1:7">
      <c r="A60" s="83"/>
      <c r="B60" s="83"/>
      <c r="C60" s="83"/>
      <c r="D60" s="325"/>
      <c r="E60" s="83"/>
      <c r="F60" s="83"/>
      <c r="G60" s="83"/>
    </row>
    <row r="61" spans="1:7">
      <c r="A61" s="83"/>
      <c r="B61" s="83"/>
      <c r="C61" s="83"/>
      <c r="D61" s="325"/>
      <c r="E61" s="83"/>
      <c r="F61" s="83"/>
      <c r="G61" s="83"/>
    </row>
    <row r="62" spans="1:7">
      <c r="A62" s="83"/>
      <c r="B62" s="83"/>
      <c r="C62" s="83"/>
      <c r="D62" s="325"/>
      <c r="E62" s="83"/>
      <c r="F62" s="83"/>
      <c r="G62" s="83"/>
    </row>
    <row r="63" spans="1:7">
      <c r="A63" s="83"/>
      <c r="B63" s="83"/>
      <c r="C63" s="83"/>
      <c r="D63" s="325"/>
      <c r="E63" s="83"/>
      <c r="F63" s="83"/>
      <c r="G63" s="83"/>
    </row>
    <row r="64" spans="1:7">
      <c r="A64" s="83"/>
      <c r="B64" s="83"/>
      <c r="C64" s="83"/>
      <c r="D64" s="325"/>
      <c r="E64" s="83"/>
      <c r="F64" s="83"/>
      <c r="G64" s="83"/>
    </row>
    <row r="65" spans="1:7">
      <c r="A65" s="83"/>
      <c r="B65" s="83"/>
      <c r="C65" s="83"/>
      <c r="D65" s="325"/>
      <c r="E65" s="83"/>
      <c r="F65" s="83"/>
      <c r="G65" s="83"/>
    </row>
    <row r="66" spans="1:7">
      <c r="A66" s="83"/>
      <c r="B66" s="83"/>
      <c r="C66" s="83"/>
      <c r="D66" s="325"/>
      <c r="E66" s="83"/>
      <c r="F66" s="83"/>
      <c r="G66" s="83"/>
    </row>
    <row r="67" spans="1:7" hidden="1">
      <c r="A67" s="83"/>
      <c r="B67" s="83"/>
      <c r="C67" s="83"/>
      <c r="D67" s="325"/>
      <c r="E67" s="83">
        <v>0</v>
      </c>
      <c r="F67" s="83"/>
      <c r="G67" s="83"/>
    </row>
    <row r="68" spans="1:7">
      <c r="A68" s="83"/>
      <c r="B68" s="83"/>
      <c r="C68" s="83"/>
      <c r="D68" s="325"/>
      <c r="E68" s="83"/>
      <c r="F68" s="83"/>
      <c r="G68" s="83"/>
    </row>
    <row r="69" spans="1:7">
      <c r="A69" s="83"/>
      <c r="B69" s="83"/>
      <c r="C69" s="83"/>
      <c r="D69" s="325"/>
      <c r="E69" s="83"/>
      <c r="F69" s="83"/>
      <c r="G69" s="83"/>
    </row>
    <row r="70" spans="1:7">
      <c r="A70" s="83"/>
      <c r="B70" s="83"/>
      <c r="C70" s="83"/>
      <c r="D70" s="325"/>
      <c r="E70" s="83"/>
      <c r="F70" s="83"/>
      <c r="G70" s="83"/>
    </row>
    <row r="71" spans="1:7">
      <c r="A71" s="83"/>
      <c r="B71" s="83"/>
      <c r="C71" s="83"/>
      <c r="D71" s="325"/>
      <c r="E71" s="83"/>
      <c r="F71" s="83"/>
      <c r="G71" s="83"/>
    </row>
    <row r="72" spans="1:7">
      <c r="A72" s="83"/>
      <c r="B72" s="83"/>
      <c r="C72" s="83"/>
      <c r="D72" s="325"/>
      <c r="E72" s="83"/>
      <c r="F72" s="83"/>
      <c r="G72" s="83"/>
    </row>
    <row r="73" spans="1:7" hidden="1">
      <c r="A73" s="83"/>
      <c r="B73" s="83"/>
      <c r="C73" s="83"/>
      <c r="D73" s="325"/>
      <c r="E73" s="83"/>
      <c r="F73" s="83"/>
      <c r="G73" s="83"/>
    </row>
    <row r="74" spans="1:7">
      <c r="A74" s="83"/>
      <c r="B74" s="83"/>
      <c r="C74" s="83"/>
      <c r="D74" s="325"/>
      <c r="E74" s="83"/>
      <c r="F74" s="83"/>
      <c r="G74" s="83"/>
    </row>
    <row r="75" spans="1:7">
      <c r="A75" s="83"/>
      <c r="B75" s="83"/>
      <c r="C75" s="83"/>
      <c r="D75" s="325"/>
      <c r="E75" s="83"/>
      <c r="F75" s="83"/>
      <c r="G75" s="83"/>
    </row>
    <row r="76" spans="1:7">
      <c r="A76" s="83"/>
      <c r="B76" s="83"/>
      <c r="C76" s="83"/>
      <c r="D76" s="325"/>
      <c r="E76" s="83"/>
      <c r="F76" s="83"/>
      <c r="G76" s="83"/>
    </row>
    <row r="77" spans="1:7">
      <c r="A77" s="83"/>
      <c r="B77" s="83"/>
      <c r="C77" s="83"/>
      <c r="D77" s="325"/>
      <c r="E77" s="83"/>
      <c r="F77" s="83"/>
      <c r="G77" s="83"/>
    </row>
    <row r="78" spans="1:7">
      <c r="A78" s="83"/>
      <c r="B78" s="83"/>
      <c r="C78" s="83"/>
      <c r="D78" s="325"/>
      <c r="E78" s="83"/>
      <c r="F78" s="83"/>
      <c r="G78" s="83"/>
    </row>
  </sheetData>
  <mergeCells count="16">
    <mergeCell ref="B19:C19"/>
    <mergeCell ref="B23:C23"/>
    <mergeCell ref="B26:C26"/>
    <mergeCell ref="B30:C30"/>
    <mergeCell ref="H4:H5"/>
    <mergeCell ref="A6:C6"/>
    <mergeCell ref="B7:C7"/>
    <mergeCell ref="B10:C10"/>
    <mergeCell ref="B13:C13"/>
    <mergeCell ref="B16:C16"/>
    <mergeCell ref="F4:G4"/>
    <mergeCell ref="A1:C1"/>
    <mergeCell ref="A2:C2"/>
    <mergeCell ref="A4:C4"/>
    <mergeCell ref="D4:D5"/>
    <mergeCell ref="E4:E5"/>
  </mergeCells>
  <phoneticPr fontId="7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4"/>
  <sheetViews>
    <sheetView workbookViewId="0">
      <selection activeCell="T44" sqref="T44"/>
    </sheetView>
  </sheetViews>
  <sheetFormatPr defaultRowHeight="13.5"/>
  <cols>
    <col min="1" max="1" width="11.5" style="52" customWidth="1"/>
    <col min="2" max="2" width="12.25" style="52" customWidth="1"/>
    <col min="3" max="3" width="17.875" style="52" customWidth="1"/>
    <col min="4" max="4" width="12.875" style="52" hidden="1" customWidth="1"/>
    <col min="5" max="6" width="15.25" style="52" customWidth="1"/>
    <col min="7" max="7" width="14.375" style="52" customWidth="1"/>
    <col min="8" max="8" width="7.625" style="52" customWidth="1"/>
    <col min="9" max="9" width="42" style="52" customWidth="1"/>
    <col min="10" max="10" width="13" style="124" hidden="1" customWidth="1"/>
    <col min="11" max="11" width="17" style="52" hidden="1" customWidth="1"/>
    <col min="12" max="12" width="5.625" style="52" customWidth="1"/>
    <col min="13" max="13" width="12.125" style="52" customWidth="1"/>
    <col min="14" max="16384" width="9" style="123"/>
  </cols>
  <sheetData>
    <row r="1" spans="1:11" s="55" customFormat="1" ht="22.5" customHeight="1">
      <c r="A1" s="1581" t="s">
        <v>478</v>
      </c>
      <c r="B1" s="1582"/>
      <c r="C1" s="1582"/>
      <c r="D1" s="332"/>
      <c r="E1" s="123"/>
      <c r="F1" s="123"/>
      <c r="G1" s="53"/>
      <c r="H1" s="53"/>
    </row>
    <row r="2" spans="1:11" s="55" customFormat="1" ht="22.5" customHeight="1">
      <c r="A2" s="1510" t="s">
        <v>492</v>
      </c>
      <c r="B2" s="1510"/>
      <c r="C2" s="1510"/>
      <c r="D2" s="145"/>
      <c r="E2" s="123"/>
      <c r="F2" s="123"/>
      <c r="G2" s="53"/>
      <c r="H2" s="53"/>
    </row>
    <row r="3" spans="1:11" s="55" customFormat="1" ht="22.5" customHeight="1">
      <c r="A3" s="53"/>
      <c r="B3" s="53"/>
      <c r="C3" s="53"/>
      <c r="D3" s="53"/>
      <c r="E3" s="53"/>
      <c r="F3" s="53"/>
      <c r="G3" s="53"/>
      <c r="H3" s="53"/>
      <c r="I3" s="58" t="s">
        <v>298</v>
      </c>
    </row>
    <row r="4" spans="1:11" s="286" customFormat="1" ht="33.75" customHeight="1">
      <c r="A4" s="1693" t="s">
        <v>301</v>
      </c>
      <c r="B4" s="1694"/>
      <c r="C4" s="1694"/>
      <c r="D4" s="333"/>
      <c r="E4" s="1515" t="str">
        <f>'[1]나.세입세출(총괄)'!D4:D5</f>
        <v>당초예산
( A )</v>
      </c>
      <c r="F4" s="1517" t="str">
        <f>'[1]나.세입세출(총괄)'!E4:E5</f>
        <v>1차추경
( B )</v>
      </c>
      <c r="G4" s="1517" t="s">
        <v>304</v>
      </c>
      <c r="H4" s="1517"/>
      <c r="I4" s="1697" t="s">
        <v>481</v>
      </c>
    </row>
    <row r="5" spans="1:11" s="286" customFormat="1" ht="33.75" customHeight="1" thickBot="1">
      <c r="A5" s="287" t="s">
        <v>1</v>
      </c>
      <c r="B5" s="64" t="s">
        <v>2</v>
      </c>
      <c r="C5" s="64" t="s">
        <v>3</v>
      </c>
      <c r="D5" s="334"/>
      <c r="E5" s="1516"/>
      <c r="F5" s="1518"/>
      <c r="G5" s="64" t="s">
        <v>305</v>
      </c>
      <c r="H5" s="63" t="s">
        <v>306</v>
      </c>
      <c r="I5" s="1698"/>
    </row>
    <row r="6" spans="1:11" s="286" customFormat="1" ht="33.75" customHeight="1" thickTop="1">
      <c r="A6" s="1499" t="s">
        <v>482</v>
      </c>
      <c r="B6" s="1699"/>
      <c r="C6" s="1699"/>
      <c r="D6" s="327"/>
      <c r="E6" s="290">
        <v>2415800000</v>
      </c>
      <c r="F6" s="290">
        <f>F7+F10+F13+F32+F36</f>
        <v>2767810000</v>
      </c>
      <c r="G6" s="290">
        <f>G7+G10+G13+G32+G36</f>
        <v>352010000</v>
      </c>
      <c r="H6" s="335">
        <f>G6/E6*100</f>
        <v>14.571156552694758</v>
      </c>
      <c r="I6" s="292"/>
      <c r="J6" s="293">
        <f>E6-[1]라.국도비세출!E6</f>
        <v>0</v>
      </c>
      <c r="K6" s="293">
        <f>F6-[1]라.국도비세출!F6</f>
        <v>0</v>
      </c>
    </row>
    <row r="7" spans="1:11" s="123" customFormat="1" ht="29.25" customHeight="1">
      <c r="A7" s="294" t="s">
        <v>308</v>
      </c>
      <c r="B7" s="1695" t="s">
        <v>309</v>
      </c>
      <c r="C7" s="1695"/>
      <c r="D7" s="336"/>
      <c r="E7" s="279">
        <v>0</v>
      </c>
      <c r="F7" s="279">
        <f>F8</f>
        <v>0</v>
      </c>
      <c r="G7" s="279">
        <f>G8</f>
        <v>0</v>
      </c>
      <c r="H7" s="283">
        <v>0</v>
      </c>
      <c r="I7" s="337"/>
    </row>
    <row r="8" spans="1:11" s="123" customFormat="1" ht="29.25" customHeight="1">
      <c r="A8" s="297"/>
      <c r="B8" s="282" t="s">
        <v>311</v>
      </c>
      <c r="C8" s="282" t="s">
        <v>312</v>
      </c>
      <c r="D8" s="233"/>
      <c r="E8" s="280">
        <v>0</v>
      </c>
      <c r="F8" s="280">
        <f>F9</f>
        <v>0</v>
      </c>
      <c r="G8" s="280">
        <f>F8-E8</f>
        <v>0</v>
      </c>
      <c r="H8" s="283">
        <v>0</v>
      </c>
      <c r="I8" s="298"/>
    </row>
    <row r="9" spans="1:11" s="123" customFormat="1" ht="29.25" customHeight="1">
      <c r="A9" s="299"/>
      <c r="B9" s="282"/>
      <c r="C9" s="282" t="s">
        <v>311</v>
      </c>
      <c r="D9" s="233"/>
      <c r="E9" s="280">
        <v>0</v>
      </c>
      <c r="F9" s="280">
        <v>0</v>
      </c>
      <c r="G9" s="280">
        <f>F9-E9</f>
        <v>0</v>
      </c>
      <c r="H9" s="283">
        <v>0</v>
      </c>
      <c r="I9" s="298"/>
    </row>
    <row r="10" spans="1:11" s="123" customFormat="1" ht="29.25" customHeight="1">
      <c r="A10" s="294" t="s">
        <v>318</v>
      </c>
      <c r="B10" s="1695" t="s">
        <v>309</v>
      </c>
      <c r="C10" s="1695"/>
      <c r="D10" s="336"/>
      <c r="E10" s="279">
        <v>0</v>
      </c>
      <c r="F10" s="279">
        <f t="shared" ref="F10:G11" si="0">F11</f>
        <v>0</v>
      </c>
      <c r="G10" s="279">
        <f t="shared" si="0"/>
        <v>0</v>
      </c>
      <c r="H10" s="283">
        <v>0</v>
      </c>
      <c r="I10" s="298"/>
    </row>
    <row r="11" spans="1:11" s="123" customFormat="1" ht="29.25" customHeight="1">
      <c r="A11" s="297"/>
      <c r="B11" s="282" t="s">
        <v>318</v>
      </c>
      <c r="C11" s="282" t="s">
        <v>312</v>
      </c>
      <c r="D11" s="233"/>
      <c r="E11" s="279">
        <v>0</v>
      </c>
      <c r="F11" s="279">
        <f t="shared" si="0"/>
        <v>0</v>
      </c>
      <c r="G11" s="279">
        <f t="shared" si="0"/>
        <v>0</v>
      </c>
      <c r="H11" s="283">
        <v>0</v>
      </c>
      <c r="I11" s="298"/>
    </row>
    <row r="12" spans="1:11" s="123" customFormat="1" ht="29.25" customHeight="1">
      <c r="A12" s="299"/>
      <c r="B12" s="282"/>
      <c r="C12" s="282" t="s">
        <v>318</v>
      </c>
      <c r="D12" s="233"/>
      <c r="E12" s="279">
        <v>0</v>
      </c>
      <c r="F12" s="279">
        <v>0</v>
      </c>
      <c r="G12" s="280">
        <f t="shared" ref="G12:G19" si="1">F12-E12</f>
        <v>0</v>
      </c>
      <c r="H12" s="283">
        <v>0</v>
      </c>
      <c r="I12" s="298"/>
      <c r="K12" s="338"/>
    </row>
    <row r="13" spans="1:11" s="123" customFormat="1" ht="33.75" customHeight="1">
      <c r="A13" s="294" t="s">
        <v>322</v>
      </c>
      <c r="B13" s="1695" t="s">
        <v>309</v>
      </c>
      <c r="C13" s="1695"/>
      <c r="D13" s="336"/>
      <c r="E13" s="280">
        <v>2390052520</v>
      </c>
      <c r="F13" s="280">
        <f>SUM(F14,F25)</f>
        <v>2762069390</v>
      </c>
      <c r="G13" s="280">
        <f t="shared" si="1"/>
        <v>372016870</v>
      </c>
      <c r="H13" s="283">
        <f>G13/E13*100</f>
        <v>15.565217370202392</v>
      </c>
      <c r="I13" s="298"/>
    </row>
    <row r="14" spans="1:11" s="123" customFormat="1" ht="33.75" customHeight="1">
      <c r="A14" s="297"/>
      <c r="B14" s="282" t="s">
        <v>322</v>
      </c>
      <c r="C14" s="282" t="s">
        <v>312</v>
      </c>
      <c r="D14" s="233"/>
      <c r="E14" s="280">
        <v>2390052520</v>
      </c>
      <c r="F14" s="280">
        <f>SUM(F15,F20)</f>
        <v>2762069390</v>
      </c>
      <c r="G14" s="280">
        <f t="shared" si="1"/>
        <v>372016870</v>
      </c>
      <c r="H14" s="283">
        <f>G14/E14*100</f>
        <v>15.565217370202392</v>
      </c>
      <c r="I14" s="298"/>
    </row>
    <row r="15" spans="1:11" s="123" customFormat="1" ht="60.75" customHeight="1">
      <c r="A15" s="306"/>
      <c r="B15" s="307"/>
      <c r="C15" s="339" t="s">
        <v>493</v>
      </c>
      <c r="D15" s="340" t="s">
        <v>494</v>
      </c>
      <c r="E15" s="280">
        <v>1672616764</v>
      </c>
      <c r="F15" s="280">
        <f>SUM(F16:F19)</f>
        <v>1933028813</v>
      </c>
      <c r="G15" s="280">
        <f t="shared" si="1"/>
        <v>260412049</v>
      </c>
      <c r="H15" s="283">
        <f>G15/E15*100</f>
        <v>15.569140200247331</v>
      </c>
      <c r="I15" s="341" t="s">
        <v>495</v>
      </c>
    </row>
    <row r="16" spans="1:11" s="123" customFormat="1" ht="33.75" customHeight="1">
      <c r="A16" s="306"/>
      <c r="B16" s="311"/>
      <c r="C16" s="282" t="s">
        <v>470</v>
      </c>
      <c r="D16" s="233" t="str">
        <f>[1]라.국도비세출!B8</f>
        <v>인건비</v>
      </c>
      <c r="E16" s="280">
        <v>1507743916</v>
      </c>
      <c r="F16" s="280">
        <f>([1]라.국도비세출!F9+[1]라.국도비세출!F11+[1]라.국도비세출!F12+[1]라.국도비세출!F13+[1]라.국도비세출!F15+[1]라.국도비세출!F16)*70%</f>
        <v>1762191473</v>
      </c>
      <c r="G16" s="280">
        <f t="shared" si="1"/>
        <v>254447557</v>
      </c>
      <c r="H16" s="283">
        <f t="shared" ref="H16:H39" si="2">G16/E16*100</f>
        <v>16.876046011516454</v>
      </c>
      <c r="I16" s="342"/>
    </row>
    <row r="17" spans="1:13" ht="33.75" customHeight="1">
      <c r="A17" s="306"/>
      <c r="B17" s="311"/>
      <c r="C17" s="282" t="s">
        <v>471</v>
      </c>
      <c r="D17" s="233" t="s">
        <v>324</v>
      </c>
      <c r="E17" s="280">
        <v>69769000</v>
      </c>
      <c r="F17" s="280">
        <f>[1]라.국도비세출!Q7*70%</f>
        <v>71270500</v>
      </c>
      <c r="G17" s="280">
        <f t="shared" si="1"/>
        <v>1501500</v>
      </c>
      <c r="H17" s="283">
        <f t="shared" si="2"/>
        <v>2.1521019363900873</v>
      </c>
      <c r="I17" s="342"/>
      <c r="J17" s="123"/>
      <c r="K17" s="123"/>
      <c r="L17" s="123"/>
      <c r="M17" s="123"/>
    </row>
    <row r="18" spans="1:13" ht="33.75" customHeight="1">
      <c r="A18" s="306"/>
      <c r="B18" s="311"/>
      <c r="C18" s="282" t="s">
        <v>472</v>
      </c>
      <c r="D18" s="233" t="s">
        <v>340</v>
      </c>
      <c r="E18" s="280">
        <v>94053848</v>
      </c>
      <c r="F18" s="280">
        <f>[1]라.국도비세출!F43*70%</f>
        <v>98517440</v>
      </c>
      <c r="G18" s="280">
        <f t="shared" si="1"/>
        <v>4463592</v>
      </c>
      <c r="H18" s="283">
        <f t="shared" si="2"/>
        <v>4.7457835005325881</v>
      </c>
      <c r="I18" s="342"/>
      <c r="J18" s="123"/>
      <c r="K18" s="123"/>
      <c r="L18" s="123"/>
      <c r="M18" s="123"/>
    </row>
    <row r="19" spans="1:13" ht="33.75" customHeight="1">
      <c r="A19" s="306"/>
      <c r="B19" s="311"/>
      <c r="C19" s="282" t="s">
        <v>473</v>
      </c>
      <c r="D19" s="233"/>
      <c r="E19" s="280">
        <v>1050000</v>
      </c>
      <c r="F19" s="280">
        <f>[1]라.국도비세출!F52/2</f>
        <v>1049400</v>
      </c>
      <c r="G19" s="280">
        <f t="shared" si="1"/>
        <v>-600</v>
      </c>
      <c r="H19" s="283">
        <v>0</v>
      </c>
      <c r="I19" s="342"/>
      <c r="J19" s="123"/>
      <c r="K19" s="123"/>
      <c r="L19" s="123"/>
      <c r="M19" s="123"/>
    </row>
    <row r="20" spans="1:13" ht="56.25" customHeight="1">
      <c r="A20" s="306"/>
      <c r="B20" s="311"/>
      <c r="C20" s="339" t="s">
        <v>496</v>
      </c>
      <c r="D20" s="340" t="s">
        <v>494</v>
      </c>
      <c r="E20" s="280">
        <v>717435756</v>
      </c>
      <c r="F20" s="280">
        <f>SUM(F21:F24)</f>
        <v>829040577</v>
      </c>
      <c r="G20" s="280">
        <f>F20-E20</f>
        <v>111604821</v>
      </c>
      <c r="H20" s="283">
        <f t="shared" si="2"/>
        <v>15.556071755085481</v>
      </c>
      <c r="I20" s="341" t="s">
        <v>497</v>
      </c>
      <c r="J20" s="123"/>
      <c r="K20" s="123"/>
      <c r="L20" s="123"/>
      <c r="M20" s="123"/>
    </row>
    <row r="21" spans="1:13" ht="33.75" customHeight="1">
      <c r="A21" s="306"/>
      <c r="B21" s="311"/>
      <c r="C21" s="282" t="s">
        <v>474</v>
      </c>
      <c r="D21" s="233" t="str">
        <f>D16</f>
        <v>인건비</v>
      </c>
      <c r="E21" s="280">
        <v>646175964</v>
      </c>
      <c r="F21" s="280">
        <f>([1]라.국도비세출!F9+[1]라.국도비세출!F11+[1]라.국도비세출!F12+[1]라.국도비세출!F13+[1]라.국도비세출!F15+[1]라.국도비세출!F16)*30%</f>
        <v>755224917</v>
      </c>
      <c r="G21" s="280">
        <f t="shared" ref="G21:G31" si="3">F21-E21</f>
        <v>109048953</v>
      </c>
      <c r="H21" s="283">
        <f t="shared" si="2"/>
        <v>16.876046011516454</v>
      </c>
      <c r="I21" s="298"/>
      <c r="J21" s="123"/>
      <c r="K21" s="123"/>
      <c r="L21" s="123"/>
      <c r="M21" s="123"/>
    </row>
    <row r="22" spans="1:13" ht="33.75" customHeight="1">
      <c r="A22" s="306"/>
      <c r="B22" s="311"/>
      <c r="C22" s="282" t="s">
        <v>475</v>
      </c>
      <c r="D22" s="233" t="str">
        <f>D17</f>
        <v>운영비</v>
      </c>
      <c r="E22" s="280">
        <v>29901000</v>
      </c>
      <c r="F22" s="280">
        <f>[1]라.국도비세출!Q7*30%</f>
        <v>30544500</v>
      </c>
      <c r="G22" s="280">
        <f t="shared" si="3"/>
        <v>643500</v>
      </c>
      <c r="H22" s="283">
        <f t="shared" si="2"/>
        <v>2.1521019363900873</v>
      </c>
      <c r="I22" s="298"/>
      <c r="J22" s="123"/>
      <c r="K22" s="123"/>
      <c r="L22" s="123"/>
      <c r="M22" s="123"/>
    </row>
    <row r="23" spans="1:13" ht="33.75" customHeight="1">
      <c r="A23" s="306"/>
      <c r="B23" s="309"/>
      <c r="C23" s="282" t="s">
        <v>476</v>
      </c>
      <c r="D23" s="233" t="str">
        <f>D18</f>
        <v>생계비</v>
      </c>
      <c r="E23" s="280">
        <v>40308792</v>
      </c>
      <c r="F23" s="280">
        <f>[1]라.국도비세출!F43*30%</f>
        <v>42221760</v>
      </c>
      <c r="G23" s="280">
        <f t="shared" si="3"/>
        <v>1912968</v>
      </c>
      <c r="H23" s="283">
        <f t="shared" si="2"/>
        <v>4.7457835005325881</v>
      </c>
      <c r="I23" s="298"/>
      <c r="J23" s="123"/>
      <c r="K23" s="123"/>
      <c r="L23" s="123"/>
      <c r="M23" s="123"/>
    </row>
    <row r="24" spans="1:13" ht="33.75" customHeight="1">
      <c r="A24" s="306"/>
      <c r="B24" s="309"/>
      <c r="C24" s="282" t="s">
        <v>473</v>
      </c>
      <c r="D24" s="233"/>
      <c r="E24" s="280">
        <v>1050000</v>
      </c>
      <c r="F24" s="280">
        <f>[1]라.국도비세출!F52/2</f>
        <v>1049400</v>
      </c>
      <c r="G24" s="280">
        <f>F24-E24</f>
        <v>-600</v>
      </c>
      <c r="H24" s="283">
        <v>0</v>
      </c>
      <c r="I24" s="343"/>
      <c r="J24" s="123"/>
      <c r="K24" s="123"/>
      <c r="L24" s="123"/>
      <c r="M24" s="123"/>
    </row>
    <row r="25" spans="1:13" ht="33.75" customHeight="1">
      <c r="A25" s="306"/>
      <c r="B25" s="282" t="s">
        <v>498</v>
      </c>
      <c r="C25" s="282" t="s">
        <v>312</v>
      </c>
      <c r="D25" s="340" t="s">
        <v>494</v>
      </c>
      <c r="E25" s="280"/>
      <c r="F25" s="280"/>
      <c r="G25" s="280">
        <f t="shared" ref="G25" si="4">F25-E25</f>
        <v>0</v>
      </c>
      <c r="H25" s="283" t="e">
        <f t="shared" si="2"/>
        <v>#DIV/0!</v>
      </c>
      <c r="I25" s="343"/>
      <c r="J25" s="123"/>
      <c r="K25" s="123"/>
      <c r="L25" s="123"/>
      <c r="M25" s="123"/>
    </row>
    <row r="26" spans="1:13" ht="33.75" customHeight="1">
      <c r="A26" s="306"/>
      <c r="B26" s="282"/>
      <c r="C26" s="282" t="s">
        <v>498</v>
      </c>
      <c r="D26" s="344"/>
      <c r="E26" s="280"/>
      <c r="F26" s="280"/>
      <c r="G26" s="280">
        <f>F26-E26</f>
        <v>0</v>
      </c>
      <c r="H26" s="283" t="e">
        <f t="shared" si="2"/>
        <v>#DIV/0!</v>
      </c>
      <c r="I26" s="345"/>
      <c r="J26" s="123"/>
      <c r="K26" s="123"/>
      <c r="L26" s="123"/>
      <c r="M26" s="123"/>
    </row>
    <row r="27" spans="1:13" ht="33.75" customHeight="1">
      <c r="A27" s="306"/>
      <c r="B27" s="282"/>
      <c r="C27" s="282"/>
      <c r="D27" s="233"/>
      <c r="E27" s="280"/>
      <c r="F27" s="280"/>
      <c r="G27" s="280"/>
      <c r="H27" s="283" t="e">
        <f t="shared" si="2"/>
        <v>#DIV/0!</v>
      </c>
      <c r="I27" s="343"/>
      <c r="J27" s="123"/>
      <c r="K27" s="123"/>
      <c r="L27" s="123"/>
      <c r="M27" s="123"/>
    </row>
    <row r="28" spans="1:13" ht="33.75" customHeight="1">
      <c r="A28" s="306"/>
      <c r="B28" s="307"/>
      <c r="C28" s="282"/>
      <c r="D28" s="346"/>
      <c r="E28" s="280"/>
      <c r="F28" s="280"/>
      <c r="G28" s="280">
        <f t="shared" si="3"/>
        <v>0</v>
      </c>
      <c r="H28" s="283" t="e">
        <f t="shared" si="2"/>
        <v>#DIV/0!</v>
      </c>
      <c r="I28" s="298"/>
      <c r="J28" s="123"/>
      <c r="K28" s="123"/>
      <c r="L28" s="123"/>
      <c r="M28" s="123"/>
    </row>
    <row r="29" spans="1:13" ht="33.75" customHeight="1">
      <c r="A29" s="306"/>
      <c r="B29" s="311"/>
      <c r="C29" s="282"/>
      <c r="D29" s="346"/>
      <c r="E29" s="280">
        <v>0</v>
      </c>
      <c r="F29" s="280">
        <v>0</v>
      </c>
      <c r="G29" s="280">
        <f t="shared" si="3"/>
        <v>0</v>
      </c>
      <c r="H29" s="283" t="e">
        <f t="shared" si="2"/>
        <v>#DIV/0!</v>
      </c>
      <c r="I29" s="330"/>
      <c r="J29" s="123"/>
      <c r="K29" s="123"/>
      <c r="L29" s="123"/>
      <c r="M29" s="123"/>
    </row>
    <row r="30" spans="1:13" ht="33.75" customHeight="1">
      <c r="A30" s="306"/>
      <c r="B30" s="311"/>
      <c r="C30" s="282"/>
      <c r="D30" s="233"/>
      <c r="E30" s="280"/>
      <c r="F30" s="280"/>
      <c r="G30" s="280">
        <f t="shared" si="3"/>
        <v>0</v>
      </c>
      <c r="H30" s="283" t="e">
        <f t="shared" si="2"/>
        <v>#DIV/0!</v>
      </c>
      <c r="I30" s="347"/>
      <c r="J30" s="123"/>
      <c r="K30" s="123"/>
      <c r="L30" s="123"/>
      <c r="M30" s="123"/>
    </row>
    <row r="31" spans="1:13" ht="33.75" customHeight="1">
      <c r="A31" s="299"/>
      <c r="B31" s="309"/>
      <c r="C31" s="282"/>
      <c r="D31" s="233"/>
      <c r="E31" s="280">
        <v>0</v>
      </c>
      <c r="F31" s="280">
        <v>0</v>
      </c>
      <c r="G31" s="280">
        <f t="shared" si="3"/>
        <v>0</v>
      </c>
      <c r="H31" s="283" t="e">
        <f t="shared" si="2"/>
        <v>#DIV/0!</v>
      </c>
      <c r="I31" s="347"/>
      <c r="J31" s="123"/>
      <c r="K31" s="123"/>
      <c r="L31" s="123"/>
      <c r="M31" s="123"/>
    </row>
    <row r="32" spans="1:13" ht="30" customHeight="1">
      <c r="A32" s="294" t="s">
        <v>349</v>
      </c>
      <c r="B32" s="1695" t="s">
        <v>309</v>
      </c>
      <c r="C32" s="1695"/>
      <c r="D32" s="336"/>
      <c r="E32" s="280">
        <v>25205000</v>
      </c>
      <c r="F32" s="280">
        <f>F33</f>
        <v>5170000</v>
      </c>
      <c r="G32" s="280">
        <f>G33</f>
        <v>-20035000</v>
      </c>
      <c r="H32" s="283">
        <f t="shared" si="2"/>
        <v>-79.488196786351921</v>
      </c>
      <c r="I32" s="298"/>
      <c r="J32" s="123"/>
      <c r="K32" s="123"/>
      <c r="L32" s="123"/>
      <c r="M32" s="123"/>
    </row>
    <row r="33" spans="1:13" ht="30" customHeight="1">
      <c r="A33" s="297"/>
      <c r="B33" s="282" t="s">
        <v>349</v>
      </c>
      <c r="C33" s="282" t="s">
        <v>312</v>
      </c>
      <c r="D33" s="233"/>
      <c r="E33" s="280">
        <v>25205000</v>
      </c>
      <c r="F33" s="280">
        <f>SUM(F34:F35)</f>
        <v>5170000</v>
      </c>
      <c r="G33" s="280">
        <f>SUM(G34:G35)</f>
        <v>-20035000</v>
      </c>
      <c r="H33" s="283">
        <f>G33/E33*100</f>
        <v>-79.488196786351921</v>
      </c>
      <c r="I33" s="298"/>
      <c r="J33" s="123"/>
      <c r="K33" s="123"/>
      <c r="L33" s="123"/>
      <c r="M33" s="123"/>
    </row>
    <row r="34" spans="1:13" ht="45.75" customHeight="1">
      <c r="A34" s="306"/>
      <c r="B34" s="307"/>
      <c r="C34" s="282" t="s">
        <v>350</v>
      </c>
      <c r="D34" s="159"/>
      <c r="E34" s="280">
        <v>25205000</v>
      </c>
      <c r="F34" s="280">
        <v>5170000</v>
      </c>
      <c r="G34" s="280">
        <f>F34-E34</f>
        <v>-20035000</v>
      </c>
      <c r="H34" s="283">
        <f t="shared" si="2"/>
        <v>-79.488196786351921</v>
      </c>
      <c r="I34" s="348" t="s">
        <v>499</v>
      </c>
      <c r="J34" s="123"/>
      <c r="K34" s="123"/>
      <c r="L34" s="123"/>
      <c r="M34" s="123"/>
    </row>
    <row r="35" spans="1:13" ht="33.75" hidden="1" customHeight="1">
      <c r="A35" s="299"/>
      <c r="B35" s="309"/>
      <c r="C35" s="282" t="s">
        <v>352</v>
      </c>
      <c r="D35" s="233"/>
      <c r="E35" s="280">
        <v>0</v>
      </c>
      <c r="F35" s="280">
        <v>0</v>
      </c>
      <c r="G35" s="280">
        <f>F35-E35</f>
        <v>0</v>
      </c>
      <c r="H35" s="283" t="e">
        <f t="shared" si="2"/>
        <v>#DIV/0!</v>
      </c>
      <c r="I35" s="298"/>
      <c r="J35" s="123"/>
      <c r="K35" s="123"/>
      <c r="L35" s="123"/>
      <c r="M35" s="123"/>
    </row>
    <row r="36" spans="1:13" s="314" customFormat="1" ht="33.75" customHeight="1">
      <c r="A36" s="294" t="s">
        <v>353</v>
      </c>
      <c r="B36" s="1695" t="s">
        <v>309</v>
      </c>
      <c r="C36" s="1695"/>
      <c r="D36" s="336"/>
      <c r="E36" s="280">
        <v>542480</v>
      </c>
      <c r="F36" s="280">
        <f>F37</f>
        <v>570610</v>
      </c>
      <c r="G36" s="280">
        <f>G37</f>
        <v>28130</v>
      </c>
      <c r="H36" s="283">
        <f t="shared" si="2"/>
        <v>5.1854446246866237</v>
      </c>
      <c r="I36" s="315"/>
    </row>
    <row r="37" spans="1:13" s="314" customFormat="1" ht="33.75" customHeight="1">
      <c r="A37" s="297"/>
      <c r="B37" s="282" t="s">
        <v>353</v>
      </c>
      <c r="C37" s="282" t="s">
        <v>312</v>
      </c>
      <c r="D37" s="233"/>
      <c r="E37" s="280">
        <v>542480</v>
      </c>
      <c r="F37" s="280">
        <f>SUM(F38:F40)</f>
        <v>570610</v>
      </c>
      <c r="G37" s="280">
        <f>SUM(G38:G40)</f>
        <v>28130</v>
      </c>
      <c r="H37" s="283">
        <f t="shared" si="2"/>
        <v>5.1854446246866237</v>
      </c>
      <c r="I37" s="315"/>
    </row>
    <row r="38" spans="1:13" s="286" customFormat="1" ht="33.75" customHeight="1">
      <c r="A38" s="306"/>
      <c r="B38" s="307"/>
      <c r="C38" s="282" t="s">
        <v>356</v>
      </c>
      <c r="D38" s="159"/>
      <c r="E38" s="280">
        <v>0</v>
      </c>
      <c r="F38" s="280">
        <v>0</v>
      </c>
      <c r="G38" s="280">
        <f>F38-E38</f>
        <v>0</v>
      </c>
      <c r="H38" s="283">
        <v>0</v>
      </c>
      <c r="I38" s="316"/>
    </row>
    <row r="39" spans="1:13" s="286" customFormat="1" ht="33.75" customHeight="1">
      <c r="A39" s="306"/>
      <c r="B39" s="311"/>
      <c r="C39" s="282" t="s">
        <v>358</v>
      </c>
      <c r="D39" s="346"/>
      <c r="E39" s="280">
        <v>542480</v>
      </c>
      <c r="F39" s="280">
        <f>[1]라.국도비세출!F58</f>
        <v>570610</v>
      </c>
      <c r="G39" s="280">
        <f>F39-E39</f>
        <v>28130</v>
      </c>
      <c r="H39" s="283">
        <f t="shared" si="2"/>
        <v>5.1854446246866237</v>
      </c>
      <c r="I39" s="316"/>
    </row>
    <row r="40" spans="1:13" ht="33.75" customHeight="1">
      <c r="A40" s="317"/>
      <c r="B40" s="318"/>
      <c r="C40" s="319" t="s">
        <v>359</v>
      </c>
      <c r="D40" s="349"/>
      <c r="E40" s="281">
        <v>0</v>
      </c>
      <c r="F40" s="281">
        <v>0</v>
      </c>
      <c r="G40" s="281">
        <f>F40-E40</f>
        <v>0</v>
      </c>
      <c r="H40" s="350">
        <v>0</v>
      </c>
      <c r="I40" s="351"/>
      <c r="J40" s="123"/>
      <c r="K40" s="123"/>
      <c r="L40" s="123"/>
      <c r="M40" s="123"/>
    </row>
    <row r="41" spans="1:13" ht="23.25" customHeight="1">
      <c r="A41" s="322"/>
      <c r="B41" s="322"/>
      <c r="C41" s="322"/>
      <c r="D41" s="322"/>
      <c r="E41" s="352"/>
      <c r="F41" s="353"/>
      <c r="G41" s="353"/>
      <c r="H41" s="322"/>
      <c r="I41" s="324"/>
      <c r="J41" s="123"/>
      <c r="K41" s="123"/>
      <c r="L41" s="123"/>
      <c r="M41" s="123"/>
    </row>
    <row r="42" spans="1:13">
      <c r="A42" s="83"/>
      <c r="B42" s="83"/>
      <c r="C42" s="83"/>
      <c r="D42" s="83"/>
      <c r="E42" s="222"/>
      <c r="F42" s="222"/>
      <c r="G42" s="222"/>
      <c r="H42" s="83"/>
    </row>
    <row r="43" spans="1:13">
      <c r="A43" s="83"/>
      <c r="B43" s="83"/>
      <c r="C43" s="83"/>
      <c r="D43" s="83"/>
      <c r="E43" s="222"/>
      <c r="F43" s="222"/>
      <c r="G43" s="222"/>
      <c r="H43" s="83"/>
    </row>
    <row r="44" spans="1:13">
      <c r="A44" s="83"/>
      <c r="B44" s="83"/>
      <c r="C44" s="83"/>
      <c r="D44" s="83"/>
      <c r="E44" s="222"/>
      <c r="F44" s="222"/>
      <c r="G44" s="222"/>
      <c r="H44" s="83"/>
    </row>
    <row r="45" spans="1:13">
      <c r="A45" s="83"/>
      <c r="B45" s="83"/>
      <c r="C45" s="83"/>
      <c r="D45" s="83"/>
      <c r="E45" s="222"/>
      <c r="F45" s="222"/>
      <c r="G45" s="222"/>
      <c r="H45" s="83"/>
    </row>
    <row r="46" spans="1:13">
      <c r="A46" s="83"/>
      <c r="B46" s="83"/>
      <c r="C46" s="83"/>
      <c r="D46" s="83"/>
      <c r="E46" s="222"/>
      <c r="F46" s="222"/>
      <c r="G46" s="222"/>
      <c r="H46" s="83"/>
    </row>
    <row r="47" spans="1:13">
      <c r="A47" s="83"/>
      <c r="B47" s="83"/>
      <c r="C47" s="83"/>
      <c r="D47" s="83"/>
      <c r="E47" s="222"/>
      <c r="F47" s="222"/>
      <c r="G47" s="222"/>
      <c r="H47" s="83"/>
    </row>
    <row r="48" spans="1:13">
      <c r="A48" s="83"/>
      <c r="B48" s="83"/>
      <c r="C48" s="83"/>
      <c r="D48" s="83"/>
      <c r="E48" s="222"/>
      <c r="F48" s="222"/>
      <c r="G48" s="222"/>
      <c r="H48" s="83"/>
    </row>
    <row r="49" spans="1:8">
      <c r="A49" s="83"/>
      <c r="B49" s="83"/>
      <c r="C49" s="83"/>
      <c r="D49" s="83"/>
      <c r="E49" s="83"/>
      <c r="F49" s="83"/>
      <c r="G49" s="83"/>
      <c r="H49" s="83"/>
    </row>
    <row r="50" spans="1:8">
      <c r="A50" s="83"/>
      <c r="B50" s="83"/>
      <c r="C50" s="83"/>
      <c r="D50" s="83"/>
      <c r="E50" s="83"/>
      <c r="F50" s="83"/>
      <c r="G50" s="83"/>
      <c r="H50" s="83"/>
    </row>
    <row r="51" spans="1:8">
      <c r="A51" s="83"/>
      <c r="B51" s="83"/>
      <c r="C51" s="83"/>
      <c r="D51" s="83"/>
      <c r="E51" s="83"/>
      <c r="F51" s="83"/>
      <c r="G51" s="83"/>
      <c r="H51" s="83"/>
    </row>
    <row r="52" spans="1:8">
      <c r="A52" s="83"/>
      <c r="B52" s="83"/>
      <c r="C52" s="83"/>
      <c r="D52" s="83"/>
      <c r="E52" s="83"/>
      <c r="F52" s="83"/>
      <c r="G52" s="83"/>
      <c r="H52" s="83"/>
    </row>
    <row r="53" spans="1:8">
      <c r="A53" s="83"/>
      <c r="B53" s="83"/>
      <c r="C53" s="83"/>
      <c r="D53" s="83"/>
      <c r="E53" s="83"/>
      <c r="F53" s="83"/>
      <c r="G53" s="83"/>
      <c r="H53" s="83"/>
    </row>
    <row r="54" spans="1:8">
      <c r="A54" s="83"/>
      <c r="B54" s="83"/>
      <c r="C54" s="83"/>
      <c r="D54" s="83"/>
      <c r="E54" s="83"/>
      <c r="F54" s="83"/>
      <c r="G54" s="83"/>
      <c r="H54" s="83"/>
    </row>
    <row r="55" spans="1:8">
      <c r="A55" s="83"/>
      <c r="B55" s="83"/>
      <c r="C55" s="83"/>
      <c r="D55" s="83"/>
      <c r="E55" s="83"/>
      <c r="F55" s="83"/>
      <c r="G55" s="83"/>
      <c r="H55" s="83"/>
    </row>
    <row r="56" spans="1:8">
      <c r="A56" s="83"/>
      <c r="B56" s="83"/>
      <c r="C56" s="83"/>
      <c r="D56" s="83"/>
      <c r="E56" s="83"/>
      <c r="F56" s="83"/>
      <c r="G56" s="83"/>
      <c r="H56" s="83"/>
    </row>
    <row r="57" spans="1:8">
      <c r="A57" s="83"/>
      <c r="B57" s="83"/>
      <c r="C57" s="83"/>
      <c r="D57" s="83"/>
      <c r="E57" s="83"/>
      <c r="F57" s="83"/>
      <c r="G57" s="83"/>
      <c r="H57" s="83"/>
    </row>
    <row r="58" spans="1:8">
      <c r="A58" s="83"/>
      <c r="B58" s="83"/>
      <c r="C58" s="83"/>
      <c r="D58" s="83"/>
      <c r="E58" s="83"/>
      <c r="F58" s="83"/>
      <c r="G58" s="83"/>
      <c r="H58" s="83"/>
    </row>
    <row r="59" spans="1:8">
      <c r="A59" s="83"/>
      <c r="B59" s="83"/>
      <c r="C59" s="83"/>
      <c r="D59" s="83"/>
      <c r="E59" s="83"/>
      <c r="F59" s="83"/>
      <c r="G59" s="83"/>
      <c r="H59" s="83"/>
    </row>
    <row r="60" spans="1:8">
      <c r="A60" s="83"/>
      <c r="B60" s="83"/>
      <c r="C60" s="83"/>
      <c r="D60" s="83"/>
      <c r="E60" s="83"/>
      <c r="F60" s="83"/>
      <c r="G60" s="83"/>
      <c r="H60" s="83"/>
    </row>
    <row r="61" spans="1:8">
      <c r="A61" s="83"/>
      <c r="B61" s="83"/>
      <c r="C61" s="83"/>
      <c r="D61" s="83"/>
      <c r="E61" s="83"/>
      <c r="F61" s="83"/>
      <c r="G61" s="83"/>
      <c r="H61" s="83"/>
    </row>
    <row r="62" spans="1:8">
      <c r="A62" s="83"/>
      <c r="B62" s="83"/>
      <c r="C62" s="83"/>
      <c r="D62" s="83"/>
      <c r="E62" s="83"/>
      <c r="F62" s="83"/>
      <c r="G62" s="83"/>
      <c r="H62" s="83"/>
    </row>
    <row r="63" spans="1:8">
      <c r="A63" s="83"/>
      <c r="B63" s="83"/>
      <c r="C63" s="83"/>
      <c r="D63" s="83"/>
      <c r="E63" s="83"/>
      <c r="F63" s="83"/>
      <c r="G63" s="83"/>
      <c r="H63" s="83"/>
    </row>
    <row r="64" spans="1:8">
      <c r="A64" s="83"/>
      <c r="B64" s="83"/>
      <c r="C64" s="83"/>
      <c r="D64" s="83"/>
      <c r="E64" s="83"/>
      <c r="F64" s="83"/>
      <c r="G64" s="83"/>
      <c r="H64" s="83"/>
    </row>
    <row r="65" spans="1:8">
      <c r="A65" s="83"/>
      <c r="B65" s="83"/>
      <c r="C65" s="83"/>
      <c r="D65" s="83"/>
      <c r="E65" s="83"/>
      <c r="F65" s="83"/>
      <c r="G65" s="83"/>
      <c r="H65" s="83"/>
    </row>
    <row r="66" spans="1:8">
      <c r="A66" s="83"/>
      <c r="B66" s="83"/>
      <c r="C66" s="83"/>
      <c r="D66" s="83"/>
      <c r="E66" s="83"/>
      <c r="F66" s="83"/>
      <c r="G66" s="83"/>
      <c r="H66" s="83"/>
    </row>
    <row r="67" spans="1:8">
      <c r="A67" s="83"/>
      <c r="B67" s="83"/>
      <c r="C67" s="83"/>
      <c r="D67" s="83"/>
      <c r="E67" s="83"/>
      <c r="F67" s="83"/>
      <c r="G67" s="83"/>
      <c r="H67" s="83"/>
    </row>
    <row r="68" spans="1:8">
      <c r="A68" s="83"/>
      <c r="B68" s="83"/>
      <c r="C68" s="83"/>
      <c r="D68" s="83"/>
      <c r="E68" s="83"/>
      <c r="F68" s="83"/>
      <c r="G68" s="83"/>
      <c r="H68" s="83"/>
    </row>
    <row r="69" spans="1:8">
      <c r="A69" s="83"/>
      <c r="B69" s="83"/>
      <c r="C69" s="83"/>
      <c r="D69" s="83"/>
      <c r="E69" s="83"/>
      <c r="F69" s="83"/>
      <c r="G69" s="83"/>
      <c r="H69" s="83"/>
    </row>
    <row r="70" spans="1:8">
      <c r="A70" s="83"/>
      <c r="B70" s="83"/>
      <c r="C70" s="83"/>
      <c r="D70" s="83"/>
      <c r="E70" s="83"/>
      <c r="F70" s="83"/>
      <c r="G70" s="83"/>
      <c r="H70" s="83"/>
    </row>
    <row r="71" spans="1:8">
      <c r="A71" s="83"/>
      <c r="B71" s="83"/>
      <c r="C71" s="83"/>
      <c r="D71" s="83"/>
      <c r="E71" s="83"/>
      <c r="F71" s="83"/>
      <c r="G71" s="83"/>
      <c r="H71" s="83"/>
    </row>
    <row r="72" spans="1:8">
      <c r="A72" s="83"/>
      <c r="B72" s="83"/>
      <c r="C72" s="83"/>
      <c r="D72" s="83"/>
      <c r="E72" s="83"/>
      <c r="F72" s="83"/>
      <c r="G72" s="83"/>
      <c r="H72" s="83"/>
    </row>
    <row r="73" spans="1:8">
      <c r="A73" s="83"/>
      <c r="B73" s="83"/>
      <c r="C73" s="83"/>
      <c r="D73" s="83"/>
      <c r="E73" s="83"/>
      <c r="F73" s="83"/>
      <c r="G73" s="83"/>
      <c r="H73" s="83"/>
    </row>
    <row r="74" spans="1:8" ht="13.5" hidden="1" customHeight="1">
      <c r="A74" s="83"/>
      <c r="B74" s="83"/>
      <c r="C74" s="83"/>
      <c r="D74" s="83"/>
      <c r="E74" s="83"/>
      <c r="F74" s="83">
        <v>0</v>
      </c>
      <c r="G74" s="83"/>
      <c r="H74" s="83"/>
    </row>
    <row r="75" spans="1:8">
      <c r="A75" s="83"/>
      <c r="B75" s="83"/>
      <c r="C75" s="83"/>
      <c r="D75" s="83"/>
      <c r="E75" s="83"/>
      <c r="F75" s="83"/>
      <c r="G75" s="83"/>
      <c r="H75" s="83"/>
    </row>
    <row r="76" spans="1:8">
      <c r="A76" s="83"/>
      <c r="B76" s="83"/>
      <c r="C76" s="83"/>
      <c r="D76" s="83"/>
      <c r="E76" s="83"/>
      <c r="F76" s="83"/>
      <c r="G76" s="83"/>
      <c r="H76" s="83"/>
    </row>
    <row r="77" spans="1:8">
      <c r="A77" s="83"/>
      <c r="B77" s="83"/>
      <c r="C77" s="83"/>
      <c r="D77" s="83"/>
      <c r="E77" s="83"/>
      <c r="F77" s="83"/>
      <c r="G77" s="83"/>
      <c r="H77" s="83"/>
    </row>
    <row r="78" spans="1:8">
      <c r="A78" s="83"/>
      <c r="B78" s="83"/>
      <c r="C78" s="83"/>
      <c r="D78" s="83"/>
      <c r="E78" s="83"/>
      <c r="F78" s="83"/>
      <c r="G78" s="83"/>
      <c r="H78" s="83"/>
    </row>
    <row r="79" spans="1:8">
      <c r="A79" s="83"/>
      <c r="B79" s="83"/>
      <c r="C79" s="83"/>
      <c r="D79" s="83"/>
      <c r="E79" s="83"/>
      <c r="F79" s="83"/>
      <c r="G79" s="83"/>
      <c r="H79" s="83"/>
    </row>
    <row r="80" spans="1:8" ht="13.5" hidden="1" customHeight="1">
      <c r="A80" s="83"/>
      <c r="B80" s="83"/>
      <c r="C80" s="83"/>
      <c r="D80" s="83"/>
      <c r="E80" s="83"/>
      <c r="F80" s="83"/>
      <c r="G80" s="83"/>
      <c r="H80" s="83"/>
    </row>
    <row r="81" spans="1:8">
      <c r="A81" s="83"/>
      <c r="B81" s="83"/>
      <c r="C81" s="83"/>
      <c r="D81" s="83"/>
      <c r="E81" s="83"/>
      <c r="F81" s="83"/>
      <c r="G81" s="83"/>
      <c r="H81" s="83"/>
    </row>
    <row r="82" spans="1:8">
      <c r="A82" s="83"/>
      <c r="B82" s="83"/>
      <c r="C82" s="83"/>
      <c r="D82" s="83"/>
      <c r="E82" s="83"/>
      <c r="F82" s="83"/>
      <c r="G82" s="83"/>
      <c r="H82" s="83"/>
    </row>
    <row r="83" spans="1:8">
      <c r="A83" s="83"/>
      <c r="B83" s="83"/>
      <c r="C83" s="83"/>
      <c r="D83" s="83"/>
      <c r="E83" s="83"/>
      <c r="F83" s="83"/>
      <c r="G83" s="83"/>
      <c r="H83" s="83"/>
    </row>
    <row r="84" spans="1:8">
      <c r="A84" s="83"/>
      <c r="B84" s="83"/>
      <c r="C84" s="83"/>
      <c r="D84" s="83"/>
      <c r="E84" s="83"/>
      <c r="F84" s="83"/>
      <c r="G84" s="83"/>
      <c r="H84" s="83"/>
    </row>
  </sheetData>
  <mergeCells count="13">
    <mergeCell ref="B36:C36"/>
    <mergeCell ref="I4:I5"/>
    <mergeCell ref="A6:C6"/>
    <mergeCell ref="B7:C7"/>
    <mergeCell ref="B10:C10"/>
    <mergeCell ref="B13:C13"/>
    <mergeCell ref="B32:C32"/>
    <mergeCell ref="G4:H4"/>
    <mergeCell ref="A1:C1"/>
    <mergeCell ref="A2:C2"/>
    <mergeCell ref="A4:C4"/>
    <mergeCell ref="E4:E5"/>
    <mergeCell ref="F4:F5"/>
  </mergeCells>
  <phoneticPr fontId="7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5"/>
  <sheetViews>
    <sheetView workbookViewId="0">
      <selection activeCell="E15" sqref="E15"/>
    </sheetView>
  </sheetViews>
  <sheetFormatPr defaultRowHeight="13.5"/>
  <cols>
    <col min="1" max="1" width="11.5" style="52" customWidth="1"/>
    <col min="2" max="2" width="12.25" style="52" customWidth="1"/>
    <col min="3" max="3" width="11.125" style="52" customWidth="1"/>
    <col min="4" max="4" width="12.375" style="52" customWidth="1"/>
    <col min="5" max="6" width="15.25" style="52" customWidth="1"/>
    <col min="7" max="7" width="14.375" style="52" customWidth="1"/>
    <col min="8" max="8" width="7.625" style="52" customWidth="1"/>
    <col min="9" max="9" width="38.375" style="52" customWidth="1"/>
    <col min="10" max="10" width="13" style="124" hidden="1" customWidth="1"/>
    <col min="11" max="11" width="17" style="52" hidden="1" customWidth="1"/>
    <col min="12" max="12" width="5.625" style="52" customWidth="1"/>
    <col min="13" max="13" width="12.125" style="52" customWidth="1"/>
    <col min="14" max="16384" width="9" style="123"/>
  </cols>
  <sheetData>
    <row r="1" spans="1:13" s="55" customFormat="1" ht="22.5" customHeight="1">
      <c r="A1" s="1581" t="s">
        <v>500</v>
      </c>
      <c r="B1" s="1582"/>
      <c r="C1" s="1582"/>
      <c r="D1" s="332"/>
      <c r="E1" s="123"/>
      <c r="F1" s="123"/>
      <c r="G1" s="53"/>
      <c r="H1" s="53"/>
    </row>
    <row r="2" spans="1:13" s="55" customFormat="1" ht="22.5" customHeight="1">
      <c r="A2" s="1510" t="s">
        <v>492</v>
      </c>
      <c r="B2" s="1510"/>
      <c r="C2" s="1510"/>
      <c r="D2" s="145"/>
      <c r="E2" s="123"/>
      <c r="F2" s="123"/>
      <c r="G2" s="53"/>
      <c r="H2" s="53"/>
    </row>
    <row r="3" spans="1:13" s="55" customFormat="1" ht="22.5" customHeight="1">
      <c r="A3" s="53"/>
      <c r="B3" s="53"/>
      <c r="C3" s="53"/>
      <c r="D3" s="53"/>
      <c r="E3" s="53"/>
      <c r="F3" s="53"/>
      <c r="G3" s="53"/>
      <c r="H3" s="53"/>
      <c r="I3" s="58" t="s">
        <v>298</v>
      </c>
    </row>
    <row r="4" spans="1:13" s="286" customFormat="1" ht="33.75" customHeight="1">
      <c r="A4" s="1512" t="s">
        <v>301</v>
      </c>
      <c r="B4" s="1513"/>
      <c r="C4" s="1513"/>
      <c r="D4" s="1514"/>
      <c r="E4" s="1515" t="str">
        <f>'[1]나.세입세출(총괄)'!D4:D5</f>
        <v>당초예산
( A )</v>
      </c>
      <c r="F4" s="1517" t="str">
        <f>'[1]나.세입세출(총괄)'!E4:E5</f>
        <v>1차추경
( B )</v>
      </c>
      <c r="G4" s="1517" t="s">
        <v>304</v>
      </c>
      <c r="H4" s="1517"/>
      <c r="I4" s="1697" t="s">
        <v>481</v>
      </c>
    </row>
    <row r="5" spans="1:13" s="286" customFormat="1" ht="33.75" customHeight="1" thickBot="1">
      <c r="A5" s="354" t="s">
        <v>1</v>
      </c>
      <c r="B5" s="334" t="s">
        <v>2</v>
      </c>
      <c r="C5" s="334" t="s">
        <v>3</v>
      </c>
      <c r="D5" s="334" t="s">
        <v>501</v>
      </c>
      <c r="E5" s="1516"/>
      <c r="F5" s="1518"/>
      <c r="G5" s="64" t="s">
        <v>305</v>
      </c>
      <c r="H5" s="63" t="s">
        <v>306</v>
      </c>
      <c r="I5" s="1698"/>
    </row>
    <row r="6" spans="1:13" s="286" customFormat="1" ht="33.75" customHeight="1" thickTop="1">
      <c r="A6" s="1499" t="s">
        <v>482</v>
      </c>
      <c r="B6" s="1699"/>
      <c r="C6" s="1699"/>
      <c r="D6" s="327"/>
      <c r="E6" s="290">
        <v>207420000</v>
      </c>
      <c r="F6" s="290">
        <f>F7+F10+F13+F23+F27</f>
        <v>207510000</v>
      </c>
      <c r="G6" s="290">
        <f>G7+G10+G13+G23+G27</f>
        <v>90000</v>
      </c>
      <c r="H6" s="335">
        <f>G6/E6*100</f>
        <v>4.3390222736476719E-2</v>
      </c>
      <c r="I6" s="292"/>
      <c r="K6" s="293">
        <f>F6-'[1]라-1.도시(군)세출'!F6</f>
        <v>0</v>
      </c>
    </row>
    <row r="7" spans="1:13" ht="29.25" customHeight="1">
      <c r="A7" s="294" t="s">
        <v>308</v>
      </c>
      <c r="B7" s="1695" t="s">
        <v>309</v>
      </c>
      <c r="C7" s="1695"/>
      <c r="D7" s="336"/>
      <c r="E7" s="279">
        <v>0</v>
      </c>
      <c r="F7" s="279">
        <f>F8</f>
        <v>0</v>
      </c>
      <c r="G7" s="279">
        <f>G8</f>
        <v>0</v>
      </c>
      <c r="H7" s="283">
        <v>0</v>
      </c>
      <c r="I7" s="337"/>
      <c r="J7" s="123"/>
      <c r="K7" s="338">
        <f>E6-'[1]라-1.도시(군)세출'!E6</f>
        <v>0</v>
      </c>
      <c r="L7" s="123"/>
      <c r="M7" s="123"/>
    </row>
    <row r="8" spans="1:13" ht="29.25" customHeight="1">
      <c r="A8" s="297"/>
      <c r="B8" s="282" t="s">
        <v>311</v>
      </c>
      <c r="C8" s="282" t="s">
        <v>312</v>
      </c>
      <c r="D8" s="233"/>
      <c r="E8" s="280">
        <v>0</v>
      </c>
      <c r="F8" s="280">
        <f>F9</f>
        <v>0</v>
      </c>
      <c r="G8" s="280">
        <f>F8-E8</f>
        <v>0</v>
      </c>
      <c r="H8" s="283">
        <v>0</v>
      </c>
      <c r="I8" s="298"/>
      <c r="J8" s="123"/>
      <c r="K8" s="123"/>
      <c r="L8" s="123"/>
      <c r="M8" s="123"/>
    </row>
    <row r="9" spans="1:13" ht="29.25" customHeight="1">
      <c r="A9" s="299"/>
      <c r="B9" s="282"/>
      <c r="C9" s="282" t="s">
        <v>311</v>
      </c>
      <c r="D9" s="233"/>
      <c r="E9" s="280">
        <v>0</v>
      </c>
      <c r="F9" s="280">
        <v>0</v>
      </c>
      <c r="G9" s="280">
        <f>F9-E9</f>
        <v>0</v>
      </c>
      <c r="H9" s="283">
        <v>0</v>
      </c>
      <c r="I9" s="298"/>
      <c r="J9" s="123"/>
      <c r="K9" s="123"/>
      <c r="L9" s="123"/>
      <c r="M9" s="123"/>
    </row>
    <row r="10" spans="1:13" ht="29.25" customHeight="1">
      <c r="A10" s="294" t="s">
        <v>318</v>
      </c>
      <c r="B10" s="1695" t="s">
        <v>309</v>
      </c>
      <c r="C10" s="1695"/>
      <c r="D10" s="336"/>
      <c r="E10" s="279">
        <v>0</v>
      </c>
      <c r="F10" s="279">
        <f t="shared" ref="F10:G11" si="0">F11</f>
        <v>0</v>
      </c>
      <c r="G10" s="279">
        <f t="shared" si="0"/>
        <v>0</v>
      </c>
      <c r="H10" s="283">
        <v>0</v>
      </c>
      <c r="I10" s="298"/>
      <c r="J10" s="123"/>
      <c r="K10" s="123"/>
      <c r="L10" s="123"/>
      <c r="M10" s="123"/>
    </row>
    <row r="11" spans="1:13" ht="29.25" customHeight="1">
      <c r="A11" s="297"/>
      <c r="B11" s="282" t="s">
        <v>318</v>
      </c>
      <c r="C11" s="282" t="s">
        <v>312</v>
      </c>
      <c r="D11" s="233"/>
      <c r="E11" s="279">
        <v>0</v>
      </c>
      <c r="F11" s="279">
        <f t="shared" si="0"/>
        <v>0</v>
      </c>
      <c r="G11" s="279">
        <f t="shared" si="0"/>
        <v>0</v>
      </c>
      <c r="H11" s="283">
        <v>0</v>
      </c>
      <c r="I11" s="298"/>
      <c r="J11" s="123"/>
      <c r="K11" s="123"/>
      <c r="L11" s="123"/>
      <c r="M11" s="123"/>
    </row>
    <row r="12" spans="1:13" ht="29.25" customHeight="1">
      <c r="A12" s="299"/>
      <c r="B12" s="282"/>
      <c r="C12" s="282" t="s">
        <v>318</v>
      </c>
      <c r="D12" s="233"/>
      <c r="E12" s="279">
        <v>0</v>
      </c>
      <c r="F12" s="279">
        <v>0</v>
      </c>
      <c r="G12" s="280">
        <f t="shared" ref="G12:G21" si="1">F12-E12</f>
        <v>0</v>
      </c>
      <c r="H12" s="283">
        <v>0</v>
      </c>
      <c r="I12" s="298"/>
      <c r="J12" s="123"/>
      <c r="K12" s="123"/>
      <c r="L12" s="123"/>
      <c r="M12" s="123"/>
    </row>
    <row r="13" spans="1:13" ht="33.75" customHeight="1">
      <c r="A13" s="294" t="s">
        <v>502</v>
      </c>
      <c r="B13" s="1695" t="s">
        <v>309</v>
      </c>
      <c r="C13" s="1695"/>
      <c r="D13" s="336"/>
      <c r="E13" s="280">
        <v>201271300</v>
      </c>
      <c r="F13" s="280">
        <f>SUM(F14,F21)</f>
        <v>204100630</v>
      </c>
      <c r="G13" s="280">
        <f>F13-E13</f>
        <v>2829330</v>
      </c>
      <c r="H13" s="283">
        <f>G13/E13*100</f>
        <v>1.4057294805568405</v>
      </c>
      <c r="I13" s="298"/>
      <c r="J13" s="123"/>
      <c r="K13" s="123"/>
      <c r="L13" s="123"/>
      <c r="M13" s="123"/>
    </row>
    <row r="14" spans="1:13" ht="31.5" customHeight="1">
      <c r="A14" s="297"/>
      <c r="B14" s="282" t="s">
        <v>502</v>
      </c>
      <c r="C14" s="282" t="s">
        <v>312</v>
      </c>
      <c r="D14" s="233"/>
      <c r="E14" s="280">
        <v>194551300</v>
      </c>
      <c r="F14" s="280">
        <f>SUM(F15:F20)</f>
        <v>197380630</v>
      </c>
      <c r="G14" s="280">
        <f>F14-E14</f>
        <v>2829330</v>
      </c>
      <c r="H14" s="283">
        <f>G14/E14*100</f>
        <v>1.4542848081714179</v>
      </c>
      <c r="I14" s="355"/>
      <c r="J14" s="123"/>
      <c r="K14" s="123"/>
      <c r="L14" s="123"/>
      <c r="M14" s="123"/>
    </row>
    <row r="15" spans="1:13" ht="30.75" customHeight="1">
      <c r="A15" s="306"/>
      <c r="B15" s="311"/>
      <c r="C15" s="282"/>
      <c r="D15" s="282" t="s">
        <v>462</v>
      </c>
      <c r="E15" s="280">
        <v>155111300</v>
      </c>
      <c r="F15" s="280">
        <f>'[1]라-1.도시(군)세출'!F7</f>
        <v>155850630</v>
      </c>
      <c r="G15" s="280">
        <f t="shared" si="1"/>
        <v>739330</v>
      </c>
      <c r="H15" s="283">
        <f t="shared" ref="H15:H23" si="2">G15/E15*100</f>
        <v>0.47664483503136135</v>
      </c>
      <c r="I15" s="355" t="s">
        <v>503</v>
      </c>
      <c r="J15" s="123"/>
      <c r="K15" s="338">
        <f>'[1]라-1.도시(군)세출'!T7+'[1]라-1.도시(군)세출'!F13-F15</f>
        <v>0</v>
      </c>
      <c r="L15" s="123"/>
      <c r="M15" s="123"/>
    </row>
    <row r="16" spans="1:13" ht="33.75" customHeight="1">
      <c r="A16" s="306"/>
      <c r="B16" s="311"/>
      <c r="C16" s="282"/>
      <c r="D16" s="282" t="str">
        <f>'[1]라-1.도시(군)세출'!D22</f>
        <v>차량운영비</v>
      </c>
      <c r="E16" s="280">
        <v>3600000</v>
      </c>
      <c r="F16" s="280">
        <f>'[1]라-1.도시(군)세출'!F22</f>
        <v>3600000</v>
      </c>
      <c r="G16" s="280">
        <f t="shared" si="1"/>
        <v>0</v>
      </c>
      <c r="H16" s="283">
        <f t="shared" si="2"/>
        <v>0</v>
      </c>
      <c r="I16" s="342"/>
      <c r="J16" s="123"/>
      <c r="K16" s="123"/>
      <c r="L16" s="123"/>
      <c r="M16" s="123"/>
    </row>
    <row r="17" spans="1:13" ht="33.75" hidden="1" customHeight="1">
      <c r="A17" s="306"/>
      <c r="B17" s="311"/>
      <c r="C17" s="282"/>
      <c r="D17" s="282" t="str">
        <f>'[1]라-1.도시(군)세출'!D23</f>
        <v>환경개선사업</v>
      </c>
      <c r="E17" s="280">
        <v>0</v>
      </c>
      <c r="F17" s="280">
        <f>'[1]라-1.도시(군)세출'!F23</f>
        <v>0</v>
      </c>
      <c r="G17" s="280">
        <f t="shared" si="1"/>
        <v>0</v>
      </c>
      <c r="H17" s="283" t="e">
        <f t="shared" si="2"/>
        <v>#DIV/0!</v>
      </c>
      <c r="I17" s="342"/>
      <c r="J17" s="123"/>
      <c r="K17" s="123"/>
      <c r="L17" s="123"/>
      <c r="M17" s="123"/>
    </row>
    <row r="18" spans="1:13" ht="33.75" customHeight="1">
      <c r="A18" s="306"/>
      <c r="B18" s="311"/>
      <c r="C18" s="282"/>
      <c r="D18" s="282" t="str">
        <f>'[1]라-1.도시(군)세출'!D24</f>
        <v>간병인비</v>
      </c>
      <c r="E18" s="280">
        <v>3000000</v>
      </c>
      <c r="F18" s="280">
        <f>'[1]라-1.도시(군)세출'!F24</f>
        <v>3000000</v>
      </c>
      <c r="G18" s="280">
        <f t="shared" si="1"/>
        <v>0</v>
      </c>
      <c r="H18" s="283">
        <f t="shared" si="2"/>
        <v>0</v>
      </c>
      <c r="I18" s="342"/>
      <c r="J18" s="123"/>
      <c r="K18" s="123"/>
      <c r="L18" s="123"/>
      <c r="M18" s="123"/>
    </row>
    <row r="19" spans="1:13" ht="33.75" customHeight="1">
      <c r="A19" s="306"/>
      <c r="B19" s="309"/>
      <c r="C19" s="282"/>
      <c r="D19" s="282" t="s">
        <v>463</v>
      </c>
      <c r="E19" s="280">
        <v>32840000</v>
      </c>
      <c r="F19" s="280">
        <f>'[1]라-1.도시(군)세출'!F25</f>
        <v>32840000</v>
      </c>
      <c r="G19" s="280">
        <f t="shared" si="1"/>
        <v>0</v>
      </c>
      <c r="H19" s="283">
        <f>G19/E19*100</f>
        <v>0</v>
      </c>
      <c r="I19" s="298"/>
      <c r="J19" s="123"/>
      <c r="K19" s="123"/>
      <c r="L19" s="123"/>
      <c r="M19" s="123"/>
    </row>
    <row r="20" spans="1:13" ht="33.75" customHeight="1">
      <c r="A20" s="306"/>
      <c r="B20" s="309"/>
      <c r="C20" s="282"/>
      <c r="D20" s="282" t="s">
        <v>464</v>
      </c>
      <c r="E20" s="280"/>
      <c r="F20" s="280">
        <f>'[1]라-1.도시(군)세출'!F33</f>
        <v>2090000</v>
      </c>
      <c r="G20" s="280">
        <f t="shared" si="1"/>
        <v>2090000</v>
      </c>
      <c r="H20" s="283" t="e">
        <f t="shared" ref="H20" si="3">G20/E20*100</f>
        <v>#DIV/0!</v>
      </c>
      <c r="I20" s="298"/>
      <c r="J20" s="123"/>
      <c r="K20" s="123"/>
      <c r="L20" s="123"/>
      <c r="M20" s="123"/>
    </row>
    <row r="21" spans="1:13" ht="33.75" customHeight="1">
      <c r="A21" s="306"/>
      <c r="B21" s="282" t="s">
        <v>498</v>
      </c>
      <c r="C21" s="282" t="s">
        <v>312</v>
      </c>
      <c r="D21" s="356" t="s">
        <v>494</v>
      </c>
      <c r="E21" s="280">
        <v>6720000</v>
      </c>
      <c r="F21" s="280">
        <f>F22</f>
        <v>6720000</v>
      </c>
      <c r="G21" s="280">
        <f t="shared" si="1"/>
        <v>0</v>
      </c>
      <c r="H21" s="283">
        <f t="shared" si="2"/>
        <v>0</v>
      </c>
      <c r="I21" s="343"/>
      <c r="J21" s="123"/>
      <c r="K21" s="123"/>
      <c r="L21" s="123"/>
      <c r="M21" s="123"/>
    </row>
    <row r="22" spans="1:13" ht="33.75" customHeight="1">
      <c r="A22" s="306"/>
      <c r="B22" s="282"/>
      <c r="C22" s="282" t="s">
        <v>498</v>
      </c>
      <c r="D22" s="344" t="s">
        <v>351</v>
      </c>
      <c r="E22" s="280">
        <v>6720000</v>
      </c>
      <c r="F22" s="280">
        <v>6720000</v>
      </c>
      <c r="G22" s="280">
        <f>F22-E22</f>
        <v>0</v>
      </c>
      <c r="H22" s="283">
        <f t="shared" si="2"/>
        <v>0</v>
      </c>
      <c r="I22" s="341" t="s">
        <v>504</v>
      </c>
      <c r="J22" s="123"/>
      <c r="K22" s="123"/>
      <c r="L22" s="123"/>
      <c r="M22" s="123"/>
    </row>
    <row r="23" spans="1:13" ht="30" customHeight="1">
      <c r="A23" s="294" t="s">
        <v>349</v>
      </c>
      <c r="B23" s="1576" t="s">
        <v>309</v>
      </c>
      <c r="C23" s="1702"/>
      <c r="D23" s="1577"/>
      <c r="E23" s="280">
        <f>E24</f>
        <v>6082000</v>
      </c>
      <c r="F23" s="280">
        <f>F24</f>
        <v>3343190</v>
      </c>
      <c r="G23" s="280">
        <f>G24</f>
        <v>-2738810</v>
      </c>
      <c r="H23" s="283">
        <f t="shared" si="2"/>
        <v>-45.031404143373891</v>
      </c>
      <c r="I23" s="298"/>
      <c r="J23" s="123"/>
      <c r="K23" s="123"/>
      <c r="L23" s="123"/>
      <c r="M23" s="123"/>
    </row>
    <row r="24" spans="1:13" ht="33.75" customHeight="1">
      <c r="A24" s="297"/>
      <c r="B24" s="282" t="s">
        <v>349</v>
      </c>
      <c r="C24" s="282" t="s">
        <v>312</v>
      </c>
      <c r="D24" s="233"/>
      <c r="E24" s="280">
        <v>6082000</v>
      </c>
      <c r="F24" s="280">
        <f>SUM(F25:F26)</f>
        <v>3343190</v>
      </c>
      <c r="G24" s="280">
        <f>SUM(G25:G26)</f>
        <v>-2738810</v>
      </c>
      <c r="H24" s="283">
        <f>G24/E24*100</f>
        <v>-45.031404143373891</v>
      </c>
      <c r="I24" s="298"/>
      <c r="J24" s="123"/>
      <c r="K24" s="123"/>
      <c r="L24" s="123"/>
      <c r="M24" s="123"/>
    </row>
    <row r="25" spans="1:13" ht="120" customHeight="1">
      <c r="A25" s="306"/>
      <c r="B25" s="307"/>
      <c r="C25" s="282" t="s">
        <v>350</v>
      </c>
      <c r="D25" s="159"/>
      <c r="E25" s="280">
        <v>6082000</v>
      </c>
      <c r="F25" s="280">
        <v>3343190</v>
      </c>
      <c r="G25" s="280">
        <f>F25-E25</f>
        <v>-2738810</v>
      </c>
      <c r="H25" s="283">
        <f t="shared" ref="H25:H30" si="4">G25/E25*100</f>
        <v>-45.031404143373891</v>
      </c>
      <c r="I25" s="348" t="s">
        <v>505</v>
      </c>
      <c r="J25" s="338"/>
      <c r="K25" s="123"/>
      <c r="L25" s="123"/>
      <c r="M25" s="123"/>
    </row>
    <row r="26" spans="1:13" ht="33.75" customHeight="1">
      <c r="A26" s="299"/>
      <c r="B26" s="309"/>
      <c r="C26" s="282" t="s">
        <v>352</v>
      </c>
      <c r="D26" s="233"/>
      <c r="E26" s="280">
        <v>0</v>
      </c>
      <c r="F26" s="280">
        <v>0</v>
      </c>
      <c r="G26" s="280">
        <f>F26-E26</f>
        <v>0</v>
      </c>
      <c r="H26" s="283" t="e">
        <f t="shared" si="4"/>
        <v>#DIV/0!</v>
      </c>
      <c r="I26" s="298"/>
      <c r="J26" s="123"/>
      <c r="K26" s="123"/>
      <c r="L26" s="123"/>
      <c r="M26" s="123"/>
    </row>
    <row r="27" spans="1:13" s="314" customFormat="1" ht="33.75" customHeight="1">
      <c r="A27" s="294" t="s">
        <v>353</v>
      </c>
      <c r="B27" s="1695" t="s">
        <v>309</v>
      </c>
      <c r="C27" s="1695"/>
      <c r="D27" s="336"/>
      <c r="E27" s="280">
        <v>66700</v>
      </c>
      <c r="F27" s="280">
        <f>F28</f>
        <v>66180</v>
      </c>
      <c r="G27" s="280">
        <f>G28</f>
        <v>-520</v>
      </c>
      <c r="H27" s="283">
        <f t="shared" si="4"/>
        <v>-0.77961019490254868</v>
      </c>
      <c r="I27" s="315"/>
    </row>
    <row r="28" spans="1:13" s="314" customFormat="1" ht="33.75" customHeight="1">
      <c r="A28" s="297"/>
      <c r="B28" s="282" t="s">
        <v>353</v>
      </c>
      <c r="C28" s="282" t="s">
        <v>312</v>
      </c>
      <c r="D28" s="233"/>
      <c r="E28" s="280">
        <v>66700</v>
      </c>
      <c r="F28" s="280">
        <f>SUM(F29:F31)</f>
        <v>66180</v>
      </c>
      <c r="G28" s="280">
        <f>SUM(G29:G31)</f>
        <v>-520</v>
      </c>
      <c r="H28" s="283">
        <f t="shared" si="4"/>
        <v>-0.77961019490254868</v>
      </c>
      <c r="I28" s="315"/>
    </row>
    <row r="29" spans="1:13" s="286" customFormat="1" ht="33.75" customHeight="1">
      <c r="A29" s="306"/>
      <c r="B29" s="307"/>
      <c r="C29" s="282" t="s">
        <v>356</v>
      </c>
      <c r="D29" s="159"/>
      <c r="E29" s="280">
        <v>0</v>
      </c>
      <c r="F29" s="280">
        <v>0</v>
      </c>
      <c r="G29" s="280">
        <f>F29-E29</f>
        <v>0</v>
      </c>
      <c r="H29" s="283">
        <v>0</v>
      </c>
      <c r="I29" s="316"/>
    </row>
    <row r="30" spans="1:13" s="286" customFormat="1" ht="33.75" customHeight="1">
      <c r="A30" s="306"/>
      <c r="B30" s="311"/>
      <c r="C30" s="282" t="s">
        <v>358</v>
      </c>
      <c r="D30" s="346"/>
      <c r="E30" s="280">
        <v>66700</v>
      </c>
      <c r="F30" s="280">
        <f>'[1]라-1.도시(군)세출'!F36</f>
        <v>66180</v>
      </c>
      <c r="G30" s="280">
        <f>F30-E30</f>
        <v>-520</v>
      </c>
      <c r="H30" s="283">
        <f t="shared" si="4"/>
        <v>-0.77961019490254868</v>
      </c>
      <c r="I30" s="316"/>
    </row>
    <row r="31" spans="1:13" ht="33.75" customHeight="1">
      <c r="A31" s="317"/>
      <c r="B31" s="318"/>
      <c r="C31" s="319" t="s">
        <v>359</v>
      </c>
      <c r="D31" s="349"/>
      <c r="E31" s="281">
        <v>0</v>
      </c>
      <c r="F31" s="281">
        <v>0</v>
      </c>
      <c r="G31" s="281">
        <f>F31-E31</f>
        <v>0</v>
      </c>
      <c r="H31" s="350">
        <v>0</v>
      </c>
      <c r="I31" s="351"/>
      <c r="J31" s="123"/>
      <c r="K31" s="123"/>
      <c r="L31" s="123"/>
      <c r="M31" s="123"/>
    </row>
    <row r="32" spans="1:13" ht="23.25" customHeight="1">
      <c r="A32" s="322"/>
      <c r="B32" s="322"/>
      <c r="C32" s="322"/>
      <c r="D32" s="322"/>
      <c r="E32" s="352"/>
      <c r="F32" s="353"/>
      <c r="G32" s="353"/>
      <c r="H32" s="322"/>
      <c r="I32" s="324"/>
      <c r="J32" s="123"/>
      <c r="K32" s="123"/>
      <c r="L32" s="123"/>
      <c r="M32" s="123"/>
    </row>
    <row r="33" spans="1:13" s="124" customFormat="1" ht="12">
      <c r="A33" s="83"/>
      <c r="B33" s="83"/>
      <c r="C33" s="83"/>
      <c r="D33" s="83"/>
      <c r="E33" s="222"/>
      <c r="F33" s="222"/>
      <c r="G33" s="222"/>
      <c r="H33" s="83"/>
      <c r="I33" s="52"/>
      <c r="K33" s="52"/>
      <c r="L33" s="52"/>
      <c r="M33" s="52"/>
    </row>
    <row r="34" spans="1:13" s="124" customFormat="1" ht="12">
      <c r="A34" s="83"/>
      <c r="B34" s="83"/>
      <c r="C34" s="83"/>
      <c r="D34" s="83"/>
      <c r="E34" s="222"/>
      <c r="F34" s="222"/>
      <c r="G34" s="222"/>
      <c r="H34" s="83"/>
      <c r="I34" s="52"/>
      <c r="K34" s="52"/>
      <c r="L34" s="52"/>
      <c r="M34" s="52"/>
    </row>
    <row r="35" spans="1:13" s="124" customFormat="1" ht="12">
      <c r="A35" s="83"/>
      <c r="B35" s="83"/>
      <c r="C35" s="83"/>
      <c r="D35" s="83"/>
      <c r="E35" s="222"/>
      <c r="F35" s="222"/>
      <c r="G35" s="222"/>
      <c r="H35" s="83"/>
      <c r="I35" s="52"/>
      <c r="K35" s="52"/>
      <c r="L35" s="52"/>
      <c r="M35" s="52"/>
    </row>
    <row r="36" spans="1:13" s="52" customFormat="1" ht="12">
      <c r="A36" s="83"/>
      <c r="B36" s="83"/>
      <c r="C36" s="83"/>
      <c r="D36" s="83"/>
      <c r="E36" s="222"/>
      <c r="F36" s="222"/>
      <c r="G36" s="222"/>
      <c r="H36" s="83"/>
      <c r="J36" s="124"/>
    </row>
    <row r="37" spans="1:13" s="52" customFormat="1" ht="12">
      <c r="A37" s="83"/>
      <c r="B37" s="83"/>
      <c r="C37" s="83"/>
      <c r="D37" s="83"/>
      <c r="E37" s="222"/>
      <c r="F37" s="222"/>
      <c r="G37" s="222"/>
      <c r="H37" s="83"/>
      <c r="J37" s="124"/>
    </row>
    <row r="38" spans="1:13" s="52" customFormat="1" ht="12">
      <c r="A38" s="83"/>
      <c r="B38" s="83"/>
      <c r="C38" s="83"/>
      <c r="D38" s="83"/>
      <c r="E38" s="222"/>
      <c r="F38" s="222"/>
      <c r="G38" s="222"/>
      <c r="H38" s="83"/>
      <c r="J38" s="124"/>
    </row>
    <row r="39" spans="1:13" s="52" customFormat="1" ht="12">
      <c r="A39" s="83"/>
      <c r="B39" s="83"/>
      <c r="C39" s="83"/>
      <c r="D39" s="83"/>
      <c r="E39" s="222"/>
      <c r="F39" s="222"/>
      <c r="G39" s="222"/>
      <c r="H39" s="83"/>
      <c r="J39" s="124"/>
    </row>
    <row r="40" spans="1:13" s="52" customFormat="1" ht="11.25">
      <c r="A40" s="83"/>
      <c r="B40" s="83"/>
      <c r="C40" s="83"/>
      <c r="D40" s="83"/>
      <c r="E40" s="83"/>
      <c r="F40" s="83"/>
      <c r="G40" s="83"/>
      <c r="H40" s="83"/>
      <c r="J40" s="124"/>
    </row>
    <row r="41" spans="1:13" s="52" customFormat="1" ht="11.25">
      <c r="A41" s="83"/>
      <c r="B41" s="83"/>
      <c r="C41" s="83"/>
      <c r="D41" s="83"/>
      <c r="E41" s="83"/>
      <c r="F41" s="83"/>
      <c r="G41" s="83"/>
      <c r="H41" s="83"/>
      <c r="J41" s="124"/>
    </row>
    <row r="42" spans="1:13" s="52" customFormat="1" ht="11.25">
      <c r="A42" s="83"/>
      <c r="B42" s="83"/>
      <c r="C42" s="83"/>
      <c r="D42" s="83"/>
      <c r="E42" s="83"/>
      <c r="F42" s="83"/>
      <c r="G42" s="83"/>
      <c r="H42" s="83"/>
      <c r="J42" s="124"/>
    </row>
    <row r="43" spans="1:13" s="52" customFormat="1" ht="11.25">
      <c r="A43" s="83"/>
      <c r="B43" s="83"/>
      <c r="C43" s="83"/>
      <c r="D43" s="83"/>
      <c r="E43" s="83"/>
      <c r="F43" s="83"/>
      <c r="G43" s="83"/>
      <c r="H43" s="83"/>
      <c r="J43" s="124"/>
    </row>
    <row r="44" spans="1:13" s="52" customFormat="1" ht="11.25">
      <c r="A44" s="83"/>
      <c r="B44" s="83"/>
      <c r="C44" s="83"/>
      <c r="D44" s="83"/>
      <c r="E44" s="83"/>
      <c r="F44" s="83"/>
      <c r="G44" s="83"/>
      <c r="H44" s="83"/>
      <c r="J44" s="124"/>
    </row>
    <row r="45" spans="1:13" s="52" customFormat="1" ht="11.25">
      <c r="A45" s="83"/>
      <c r="B45" s="83"/>
      <c r="C45" s="83"/>
      <c r="D45" s="83"/>
      <c r="E45" s="83"/>
      <c r="F45" s="83"/>
      <c r="G45" s="83"/>
      <c r="H45" s="83"/>
      <c r="J45" s="124"/>
    </row>
    <row r="46" spans="1:13" s="52" customFormat="1" ht="11.25">
      <c r="A46" s="83"/>
      <c r="B46" s="83"/>
      <c r="C46" s="83"/>
      <c r="D46" s="83"/>
      <c r="E46" s="83"/>
      <c r="F46" s="83"/>
      <c r="G46" s="83"/>
      <c r="H46" s="83"/>
      <c r="J46" s="124"/>
    </row>
    <row r="47" spans="1:13" s="52" customFormat="1" ht="11.25">
      <c r="A47" s="83"/>
      <c r="B47" s="83"/>
      <c r="C47" s="83"/>
      <c r="D47" s="83"/>
      <c r="E47" s="83"/>
      <c r="F47" s="83"/>
      <c r="G47" s="83"/>
      <c r="H47" s="83"/>
      <c r="J47" s="124"/>
    </row>
    <row r="48" spans="1:13" s="52" customFormat="1" ht="11.25">
      <c r="A48" s="83"/>
      <c r="B48" s="83"/>
      <c r="C48" s="83"/>
      <c r="D48" s="83"/>
      <c r="E48" s="83"/>
      <c r="F48" s="83"/>
      <c r="G48" s="83"/>
      <c r="H48" s="83"/>
      <c r="J48" s="124"/>
    </row>
    <row r="49" spans="1:10" s="52" customFormat="1" ht="11.25">
      <c r="A49" s="83"/>
      <c r="B49" s="83"/>
      <c r="C49" s="83"/>
      <c r="D49" s="83"/>
      <c r="E49" s="83"/>
      <c r="F49" s="83"/>
      <c r="G49" s="83"/>
      <c r="H49" s="83"/>
      <c r="J49" s="124"/>
    </row>
    <row r="50" spans="1:10" s="52" customFormat="1" ht="11.25">
      <c r="A50" s="83"/>
      <c r="B50" s="83"/>
      <c r="C50" s="83"/>
      <c r="D50" s="83"/>
      <c r="E50" s="83"/>
      <c r="F50" s="83"/>
      <c r="G50" s="83"/>
      <c r="H50" s="83"/>
      <c r="J50" s="124"/>
    </row>
    <row r="51" spans="1:10" s="52" customFormat="1" ht="11.25">
      <c r="A51" s="83"/>
      <c r="B51" s="83"/>
      <c r="C51" s="83"/>
      <c r="D51" s="83"/>
      <c r="E51" s="83"/>
      <c r="F51" s="83"/>
      <c r="G51" s="83"/>
      <c r="H51" s="83"/>
      <c r="J51" s="124"/>
    </row>
    <row r="52" spans="1:10" s="52" customFormat="1" ht="11.25">
      <c r="A52" s="83"/>
      <c r="B52" s="83"/>
      <c r="C52" s="83"/>
      <c r="D52" s="83"/>
      <c r="E52" s="83"/>
      <c r="F52" s="83"/>
      <c r="G52" s="83"/>
      <c r="H52" s="83"/>
      <c r="J52" s="124"/>
    </row>
    <row r="53" spans="1:10" s="52" customFormat="1" ht="11.25">
      <c r="A53" s="83"/>
      <c r="B53" s="83"/>
      <c r="C53" s="83"/>
      <c r="D53" s="83"/>
      <c r="E53" s="83"/>
      <c r="F53" s="83"/>
      <c r="G53" s="83"/>
      <c r="H53" s="83"/>
      <c r="J53" s="124"/>
    </row>
    <row r="54" spans="1:10" s="52" customFormat="1" ht="11.25">
      <c r="A54" s="83"/>
      <c r="B54" s="83"/>
      <c r="C54" s="83"/>
      <c r="D54" s="83"/>
      <c r="E54" s="83"/>
      <c r="F54" s="83"/>
      <c r="G54" s="83"/>
      <c r="H54" s="83"/>
      <c r="J54" s="124"/>
    </row>
    <row r="55" spans="1:10" s="52" customFormat="1" ht="11.25">
      <c r="A55" s="83"/>
      <c r="B55" s="83"/>
      <c r="C55" s="83"/>
      <c r="D55" s="83"/>
      <c r="E55" s="83"/>
      <c r="F55" s="83"/>
      <c r="G55" s="83"/>
      <c r="H55" s="83"/>
      <c r="J55" s="124"/>
    </row>
    <row r="56" spans="1:10" s="52" customFormat="1" ht="11.25">
      <c r="A56" s="83"/>
      <c r="B56" s="83"/>
      <c r="C56" s="83"/>
      <c r="D56" s="83"/>
      <c r="E56" s="83"/>
      <c r="F56" s="83"/>
      <c r="G56" s="83"/>
      <c r="H56" s="83"/>
      <c r="J56" s="124"/>
    </row>
    <row r="57" spans="1:10" s="52" customFormat="1" ht="11.25">
      <c r="A57" s="83"/>
      <c r="B57" s="83"/>
      <c r="C57" s="83"/>
      <c r="D57" s="83"/>
      <c r="E57" s="83"/>
      <c r="F57" s="83"/>
      <c r="G57" s="83"/>
      <c r="H57" s="83"/>
      <c r="J57" s="124"/>
    </row>
    <row r="58" spans="1:10" s="52" customFormat="1" ht="11.25">
      <c r="A58" s="83"/>
      <c r="B58" s="83"/>
      <c r="C58" s="83"/>
      <c r="D58" s="83"/>
      <c r="E58" s="83"/>
      <c r="F58" s="83"/>
      <c r="G58" s="83"/>
      <c r="H58" s="83"/>
      <c r="J58" s="124"/>
    </row>
    <row r="59" spans="1:10" s="52" customFormat="1" ht="11.25">
      <c r="A59" s="83"/>
      <c r="B59" s="83"/>
      <c r="C59" s="83"/>
      <c r="D59" s="83"/>
      <c r="E59" s="83"/>
      <c r="F59" s="83"/>
      <c r="G59" s="83"/>
      <c r="H59" s="83"/>
      <c r="J59" s="124"/>
    </row>
    <row r="60" spans="1:10" s="52" customFormat="1" ht="11.25">
      <c r="A60" s="83"/>
      <c r="B60" s="83"/>
      <c r="C60" s="83"/>
      <c r="D60" s="83"/>
      <c r="E60" s="83"/>
      <c r="F60" s="83"/>
      <c r="G60" s="83"/>
      <c r="H60" s="83"/>
      <c r="J60" s="124"/>
    </row>
    <row r="61" spans="1:10" s="52" customFormat="1" ht="11.25">
      <c r="A61" s="83"/>
      <c r="B61" s="83"/>
      <c r="C61" s="83"/>
      <c r="D61" s="83"/>
      <c r="E61" s="83"/>
      <c r="F61" s="83"/>
      <c r="G61" s="83"/>
      <c r="H61" s="83"/>
      <c r="J61" s="124"/>
    </row>
    <row r="62" spans="1:10" s="52" customFormat="1" ht="11.25">
      <c r="A62" s="83"/>
      <c r="B62" s="83"/>
      <c r="C62" s="83"/>
      <c r="D62" s="83"/>
      <c r="E62" s="83"/>
      <c r="F62" s="83"/>
      <c r="G62" s="83"/>
      <c r="H62" s="83"/>
      <c r="J62" s="124"/>
    </row>
    <row r="63" spans="1:10" s="52" customFormat="1" ht="11.25">
      <c r="A63" s="83"/>
      <c r="B63" s="83"/>
      <c r="C63" s="83"/>
      <c r="D63" s="83"/>
      <c r="E63" s="83"/>
      <c r="F63" s="83"/>
      <c r="G63" s="83"/>
      <c r="H63" s="83"/>
      <c r="J63" s="124"/>
    </row>
    <row r="64" spans="1:10" s="52" customFormat="1" ht="11.25">
      <c r="A64" s="83"/>
      <c r="B64" s="83"/>
      <c r="C64" s="83"/>
      <c r="D64" s="83"/>
      <c r="E64" s="83"/>
      <c r="F64" s="83"/>
      <c r="G64" s="83"/>
      <c r="H64" s="83"/>
      <c r="J64" s="124"/>
    </row>
    <row r="65" spans="1:10" s="52" customFormat="1" ht="13.5" hidden="1" customHeight="1">
      <c r="A65" s="83"/>
      <c r="B65" s="83"/>
      <c r="C65" s="83"/>
      <c r="D65" s="83"/>
      <c r="E65" s="83"/>
      <c r="F65" s="83">
        <v>0</v>
      </c>
      <c r="G65" s="83"/>
      <c r="H65" s="83"/>
      <c r="J65" s="124"/>
    </row>
    <row r="66" spans="1:10" s="52" customFormat="1" ht="11.25">
      <c r="A66" s="83"/>
      <c r="B66" s="83"/>
      <c r="C66" s="83"/>
      <c r="D66" s="83"/>
      <c r="E66" s="83"/>
      <c r="F66" s="83"/>
      <c r="G66" s="83"/>
      <c r="H66" s="83"/>
      <c r="J66" s="124"/>
    </row>
    <row r="67" spans="1:10" s="52" customFormat="1" ht="11.25">
      <c r="A67" s="83"/>
      <c r="B67" s="83"/>
      <c r="C67" s="83"/>
      <c r="D67" s="83"/>
      <c r="E67" s="83"/>
      <c r="F67" s="83"/>
      <c r="G67" s="83"/>
      <c r="H67" s="83"/>
      <c r="J67" s="124"/>
    </row>
    <row r="68" spans="1:10" s="52" customFormat="1" ht="11.25">
      <c r="A68" s="83"/>
      <c r="B68" s="83"/>
      <c r="C68" s="83"/>
      <c r="D68" s="83"/>
      <c r="E68" s="83"/>
      <c r="F68" s="83"/>
      <c r="G68" s="83"/>
      <c r="H68" s="83"/>
      <c r="J68" s="124"/>
    </row>
    <row r="69" spans="1:10" s="52" customFormat="1" ht="11.25">
      <c r="A69" s="83"/>
      <c r="B69" s="83"/>
      <c r="C69" s="83"/>
      <c r="D69" s="83"/>
      <c r="E69" s="83"/>
      <c r="F69" s="83"/>
      <c r="G69" s="83"/>
      <c r="H69" s="83"/>
      <c r="J69" s="124"/>
    </row>
    <row r="70" spans="1:10" s="52" customFormat="1" ht="11.25">
      <c r="A70" s="83"/>
      <c r="B70" s="83"/>
      <c r="C70" s="83"/>
      <c r="D70" s="83"/>
      <c r="E70" s="83"/>
      <c r="F70" s="83"/>
      <c r="G70" s="83"/>
      <c r="H70" s="83"/>
      <c r="J70" s="124"/>
    </row>
    <row r="71" spans="1:10" s="52" customFormat="1" ht="13.5" hidden="1" customHeight="1">
      <c r="A71" s="83"/>
      <c r="B71" s="83"/>
      <c r="C71" s="83"/>
      <c r="D71" s="83"/>
      <c r="E71" s="83"/>
      <c r="F71" s="83"/>
      <c r="G71" s="83"/>
      <c r="H71" s="83"/>
      <c r="J71" s="124"/>
    </row>
    <row r="72" spans="1:10" s="52" customFormat="1" ht="11.25">
      <c r="A72" s="83"/>
      <c r="B72" s="83"/>
      <c r="C72" s="83"/>
      <c r="D72" s="83"/>
      <c r="E72" s="83"/>
      <c r="F72" s="83"/>
      <c r="G72" s="83"/>
      <c r="H72" s="83"/>
      <c r="J72" s="124"/>
    </row>
    <row r="73" spans="1:10" s="52" customFormat="1" ht="11.25">
      <c r="A73" s="83"/>
      <c r="B73" s="83"/>
      <c r="C73" s="83"/>
      <c r="D73" s="83"/>
      <c r="E73" s="83"/>
      <c r="F73" s="83"/>
      <c r="G73" s="83"/>
      <c r="H73" s="83"/>
      <c r="J73" s="124"/>
    </row>
    <row r="74" spans="1:10" s="52" customFormat="1" ht="11.25">
      <c r="A74" s="83"/>
      <c r="B74" s="83"/>
      <c r="C74" s="83"/>
      <c r="D74" s="83"/>
      <c r="E74" s="83"/>
      <c r="F74" s="83"/>
      <c r="G74" s="83"/>
      <c r="H74" s="83"/>
      <c r="J74" s="124"/>
    </row>
    <row r="75" spans="1:10" s="52" customFormat="1" ht="11.25">
      <c r="A75" s="83"/>
      <c r="B75" s="83"/>
      <c r="C75" s="83"/>
      <c r="D75" s="83"/>
      <c r="E75" s="83"/>
      <c r="F75" s="83"/>
      <c r="G75" s="83"/>
      <c r="H75" s="83"/>
      <c r="J75" s="124"/>
    </row>
  </sheetData>
  <mergeCells count="13">
    <mergeCell ref="B27:C27"/>
    <mergeCell ref="I4:I5"/>
    <mergeCell ref="A6:C6"/>
    <mergeCell ref="B7:C7"/>
    <mergeCell ref="B10:C10"/>
    <mergeCell ref="B13:C13"/>
    <mergeCell ref="B23:D23"/>
    <mergeCell ref="G4:H4"/>
    <mergeCell ref="A1:C1"/>
    <mergeCell ref="A2:C2"/>
    <mergeCell ref="A4:D4"/>
    <mergeCell ref="E4:E5"/>
    <mergeCell ref="F4:F5"/>
  </mergeCells>
  <phoneticPr fontId="7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2"/>
  <sheetViews>
    <sheetView topLeftCell="A13" workbookViewId="0">
      <selection activeCell="W43" sqref="W43"/>
    </sheetView>
  </sheetViews>
  <sheetFormatPr defaultRowHeight="13.5"/>
  <cols>
    <col min="1" max="1" width="9.875" style="120" customWidth="1"/>
    <col min="2" max="2" width="10.625" style="120" customWidth="1"/>
    <col min="3" max="3" width="12.375" style="120" customWidth="1"/>
    <col min="4" max="4" width="12.125" style="124" customWidth="1"/>
    <col min="5" max="5" width="12.125" style="52" customWidth="1"/>
    <col min="6" max="6" width="11.125" style="52" customWidth="1"/>
    <col min="7" max="7" width="6.5" style="52" customWidth="1"/>
    <col min="8" max="9" width="9.875" style="120" customWidth="1"/>
    <col min="10" max="10" width="12.625" style="120" customWidth="1"/>
    <col min="11" max="11" width="12.125" style="124" customWidth="1"/>
    <col min="12" max="12" width="12.125" style="52" customWidth="1"/>
    <col min="13" max="13" width="11" style="52" customWidth="1"/>
    <col min="14" max="14" width="6" style="125" customWidth="1"/>
    <col min="15" max="15" width="11.25" style="123" hidden="1" customWidth="1"/>
    <col min="16" max="16" width="15.75" style="123" hidden="1" customWidth="1"/>
    <col min="17" max="16384" width="9" style="123"/>
  </cols>
  <sheetData>
    <row r="1" spans="1:16" s="55" customFormat="1" ht="22.5" customHeight="1">
      <c r="A1" s="1703" t="s">
        <v>297</v>
      </c>
      <c r="B1" s="1704"/>
      <c r="C1" s="1704"/>
      <c r="D1" s="51"/>
      <c r="E1" s="52"/>
      <c r="F1" s="53"/>
      <c r="G1" s="53"/>
      <c r="H1" s="1705"/>
      <c r="I1" s="1706"/>
      <c r="J1" s="1706"/>
      <c r="K1" s="51"/>
      <c r="L1" s="53"/>
      <c r="M1" s="53"/>
      <c r="N1" s="54"/>
    </row>
    <row r="2" spans="1:16" s="55" customFormat="1" ht="18" customHeight="1">
      <c r="A2" s="56"/>
      <c r="B2" s="56"/>
      <c r="C2" s="56"/>
      <c r="D2" s="57"/>
      <c r="E2" s="36"/>
      <c r="F2" s="53"/>
      <c r="G2" s="53"/>
      <c r="H2" s="56"/>
      <c r="I2" s="56"/>
      <c r="J2" s="56"/>
      <c r="K2" s="51"/>
      <c r="L2" s="38"/>
      <c r="M2" s="58" t="s">
        <v>298</v>
      </c>
      <c r="N2" s="54"/>
    </row>
    <row r="3" spans="1:16" s="59" customFormat="1" ht="26.25" customHeight="1">
      <c r="A3" s="1707" t="s">
        <v>299</v>
      </c>
      <c r="B3" s="1708"/>
      <c r="C3" s="1708"/>
      <c r="D3" s="1708"/>
      <c r="E3" s="1708"/>
      <c r="F3" s="1708"/>
      <c r="G3" s="1708"/>
      <c r="H3" s="1709" t="s">
        <v>300</v>
      </c>
      <c r="I3" s="1710"/>
      <c r="J3" s="1710"/>
      <c r="K3" s="1710"/>
      <c r="L3" s="1710"/>
      <c r="M3" s="1710"/>
      <c r="N3" s="1711"/>
      <c r="P3" s="60"/>
    </row>
    <row r="4" spans="1:16" s="61" customFormat="1" ht="20.100000000000001" customHeight="1">
      <c r="A4" s="1712" t="s">
        <v>301</v>
      </c>
      <c r="B4" s="1713"/>
      <c r="C4" s="1713"/>
      <c r="D4" s="1515" t="s">
        <v>302</v>
      </c>
      <c r="E4" s="1517" t="s">
        <v>303</v>
      </c>
      <c r="F4" s="1517" t="s">
        <v>304</v>
      </c>
      <c r="G4" s="1517"/>
      <c r="H4" s="1714" t="s">
        <v>301</v>
      </c>
      <c r="I4" s="1713"/>
      <c r="J4" s="1713"/>
      <c r="K4" s="1515" t="str">
        <f>D4</f>
        <v>당초예산
( A )</v>
      </c>
      <c r="L4" s="1517" t="str">
        <f>E4</f>
        <v>1차추경
( B )</v>
      </c>
      <c r="M4" s="1517" t="s">
        <v>304</v>
      </c>
      <c r="N4" s="1716"/>
    </row>
    <row r="5" spans="1:16" s="61" customFormat="1" ht="20.100000000000001" customHeight="1" thickBot="1">
      <c r="A5" s="62" t="s">
        <v>1</v>
      </c>
      <c r="B5" s="63" t="s">
        <v>2</v>
      </c>
      <c r="C5" s="63" t="s">
        <v>3</v>
      </c>
      <c r="D5" s="1516"/>
      <c r="E5" s="1518"/>
      <c r="F5" s="64" t="s">
        <v>305</v>
      </c>
      <c r="G5" s="63" t="s">
        <v>306</v>
      </c>
      <c r="H5" s="65" t="s">
        <v>1</v>
      </c>
      <c r="I5" s="63" t="s">
        <v>2</v>
      </c>
      <c r="J5" s="63" t="s">
        <v>3</v>
      </c>
      <c r="K5" s="1516"/>
      <c r="L5" s="1518"/>
      <c r="M5" s="64" t="s">
        <v>305</v>
      </c>
      <c r="N5" s="66" t="s">
        <v>306</v>
      </c>
      <c r="P5" s="67"/>
    </row>
    <row r="6" spans="1:16" s="75" customFormat="1" ht="18" customHeight="1" thickTop="1">
      <c r="A6" s="1717" t="s">
        <v>307</v>
      </c>
      <c r="B6" s="1718"/>
      <c r="C6" s="1718"/>
      <c r="D6" s="68">
        <v>3230720000</v>
      </c>
      <c r="E6" s="68">
        <f>E7+E13+E16+E36+E39+E43+E10+E30</f>
        <v>3633770000</v>
      </c>
      <c r="F6" s="69">
        <f>F7+F13+F16+F36+F39+F43+F10+F30</f>
        <v>403050000</v>
      </c>
      <c r="G6" s="70">
        <f>F6/D6*100</f>
        <v>12.47554724643423</v>
      </c>
      <c r="H6" s="1719" t="s">
        <v>307</v>
      </c>
      <c r="I6" s="1718"/>
      <c r="J6" s="1718"/>
      <c r="K6" s="71">
        <v>3230720000</v>
      </c>
      <c r="L6" s="71">
        <f>SUM(L7,L24,L29,L45,L48,L51)</f>
        <v>3633770000</v>
      </c>
      <c r="M6" s="72">
        <f>L6-K6</f>
        <v>403050000</v>
      </c>
      <c r="N6" s="73">
        <f>M6/K6*100</f>
        <v>12.47554724643423</v>
      </c>
      <c r="O6" s="74">
        <f>K6-D6</f>
        <v>0</v>
      </c>
      <c r="P6" s="74">
        <f>E6-L6</f>
        <v>0</v>
      </c>
    </row>
    <row r="7" spans="1:16" s="83" customFormat="1" ht="18" customHeight="1">
      <c r="A7" s="76" t="s">
        <v>308</v>
      </c>
      <c r="B7" s="1715" t="s">
        <v>309</v>
      </c>
      <c r="C7" s="1715"/>
      <c r="D7" s="77">
        <v>134400000</v>
      </c>
      <c r="E7" s="77">
        <f t="shared" ref="E7:E8" si="0">E8</f>
        <v>134400000</v>
      </c>
      <c r="F7" s="78">
        <f>F8</f>
        <v>0</v>
      </c>
      <c r="G7" s="79">
        <f>F7/D7*100</f>
        <v>0</v>
      </c>
      <c r="H7" s="80" t="s">
        <v>310</v>
      </c>
      <c r="I7" s="1715" t="s">
        <v>309</v>
      </c>
      <c r="J7" s="1715"/>
      <c r="K7" s="77">
        <v>2628751180</v>
      </c>
      <c r="L7" s="77">
        <f>SUM(L8,L15,L17)</f>
        <v>2985634915</v>
      </c>
      <c r="M7" s="81">
        <f>M8+M15+M17</f>
        <v>356883735</v>
      </c>
      <c r="N7" s="82">
        <f>M7/K7*100</f>
        <v>13.576170225437616</v>
      </c>
      <c r="P7" s="84"/>
    </row>
    <row r="8" spans="1:16" s="83" customFormat="1" ht="18" customHeight="1">
      <c r="A8" s="85"/>
      <c r="B8" s="86" t="s">
        <v>311</v>
      </c>
      <c r="C8" s="86" t="s">
        <v>312</v>
      </c>
      <c r="D8" s="77">
        <v>134400000</v>
      </c>
      <c r="E8" s="77">
        <f t="shared" si="0"/>
        <v>134400000</v>
      </c>
      <c r="F8" s="78">
        <f>F9</f>
        <v>0</v>
      </c>
      <c r="G8" s="79">
        <f t="shared" ref="G8:G47" si="1">F8/D8*100</f>
        <v>0</v>
      </c>
      <c r="H8" s="87"/>
      <c r="I8" s="86" t="s">
        <v>313</v>
      </c>
      <c r="J8" s="86" t="s">
        <v>312</v>
      </c>
      <c r="K8" s="77">
        <v>2393247270</v>
      </c>
      <c r="L8" s="77">
        <f>SUM(L9:L14)</f>
        <v>2744822050</v>
      </c>
      <c r="M8" s="81">
        <f>SUM(M9:M14)</f>
        <v>351574780</v>
      </c>
      <c r="N8" s="82">
        <f t="shared" ref="N8:N12" si="2">M8/K8*100</f>
        <v>14.69028229581977</v>
      </c>
    </row>
    <row r="9" spans="1:16" s="83" customFormat="1" ht="18" customHeight="1">
      <c r="A9" s="88"/>
      <c r="B9" s="86"/>
      <c r="C9" s="86" t="s">
        <v>311</v>
      </c>
      <c r="D9" s="77">
        <v>134400000</v>
      </c>
      <c r="E9" s="77">
        <f>'[1]다-2.자부담세입'!E9</f>
        <v>134400000</v>
      </c>
      <c r="F9" s="78">
        <f>E9-D9</f>
        <v>0</v>
      </c>
      <c r="G9" s="79">
        <f t="shared" si="1"/>
        <v>0</v>
      </c>
      <c r="H9" s="89"/>
      <c r="I9" s="90"/>
      <c r="J9" s="86" t="s">
        <v>75</v>
      </c>
      <c r="K9" s="77">
        <v>1479465000</v>
      </c>
      <c r="L9" s="77">
        <f>[1]라.국도비세출!F9+'[1]라-3.후원금세출'!F9+'[1]라-1.도시(군)세출'!F8</f>
        <v>1699369000</v>
      </c>
      <c r="M9" s="81">
        <f t="shared" ref="M9:M13" si="3">L9-K9</f>
        <v>219904000</v>
      </c>
      <c r="N9" s="82">
        <f t="shared" si="2"/>
        <v>14.863751423656524</v>
      </c>
    </row>
    <row r="10" spans="1:16" s="83" customFormat="1" ht="18" customHeight="1">
      <c r="A10" s="76" t="s">
        <v>314</v>
      </c>
      <c r="B10" s="1715" t="s">
        <v>309</v>
      </c>
      <c r="C10" s="1715"/>
      <c r="D10" s="77">
        <v>0</v>
      </c>
      <c r="E10" s="77">
        <f t="shared" ref="E10:F11" si="4">E11</f>
        <v>0</v>
      </c>
      <c r="F10" s="78">
        <f t="shared" si="4"/>
        <v>0</v>
      </c>
      <c r="G10" s="79" t="e">
        <f t="shared" si="1"/>
        <v>#DIV/0!</v>
      </c>
      <c r="H10" s="89"/>
      <c r="I10" s="91"/>
      <c r="J10" s="86" t="s">
        <v>315</v>
      </c>
      <c r="K10" s="77">
        <v>9600000</v>
      </c>
      <c r="L10" s="77">
        <f>'[1]라-3.후원금세출'!F11</f>
        <v>9600000</v>
      </c>
      <c r="M10" s="81">
        <f t="shared" si="3"/>
        <v>0</v>
      </c>
      <c r="N10" s="82">
        <f t="shared" si="2"/>
        <v>0</v>
      </c>
    </row>
    <row r="11" spans="1:16" s="83" customFormat="1" ht="18" customHeight="1">
      <c r="A11" s="85"/>
      <c r="B11" s="86" t="s">
        <v>314</v>
      </c>
      <c r="C11" s="86" t="s">
        <v>312</v>
      </c>
      <c r="D11" s="77">
        <v>0</v>
      </c>
      <c r="E11" s="77">
        <f t="shared" si="4"/>
        <v>0</v>
      </c>
      <c r="F11" s="78">
        <f t="shared" si="4"/>
        <v>0</v>
      </c>
      <c r="G11" s="79" t="e">
        <f t="shared" si="1"/>
        <v>#DIV/0!</v>
      </c>
      <c r="H11" s="89"/>
      <c r="I11" s="91"/>
      <c r="J11" s="86" t="s">
        <v>63</v>
      </c>
      <c r="K11" s="77">
        <v>509510880</v>
      </c>
      <c r="L11" s="77">
        <f>[1]라.국도비세출!F10+'[1]라-3.후원금세출'!F12+'[1]라-2.자부담세출'!F12+'[1]라-1.도시(군)세출'!F9</f>
        <v>587891530</v>
      </c>
      <c r="M11" s="81">
        <f t="shared" si="3"/>
        <v>78380650</v>
      </c>
      <c r="N11" s="82">
        <f t="shared" si="2"/>
        <v>15.38350859161241</v>
      </c>
    </row>
    <row r="12" spans="1:16" s="83" customFormat="1" ht="18" customHeight="1">
      <c r="A12" s="88"/>
      <c r="B12" s="86"/>
      <c r="C12" s="86" t="s">
        <v>316</v>
      </c>
      <c r="D12" s="77">
        <v>0</v>
      </c>
      <c r="E12" s="77">
        <f>'[1]다-2.자부담세입'!E12</f>
        <v>0</v>
      </c>
      <c r="F12" s="78">
        <f>E12-D12</f>
        <v>0</v>
      </c>
      <c r="G12" s="79" t="e">
        <f t="shared" si="1"/>
        <v>#DIV/0!</v>
      </c>
      <c r="H12" s="89"/>
      <c r="I12" s="91"/>
      <c r="J12" s="86" t="s">
        <v>317</v>
      </c>
      <c r="K12" s="77">
        <v>164978100</v>
      </c>
      <c r="L12" s="77">
        <f>[1]라.국도비세출!F15+'[1]라-3.후원금세출'!F26+'[1]라-2.자부담세출'!F26+'[1]라-1.도시(군)세출'!F14</f>
        <v>190069410</v>
      </c>
      <c r="M12" s="81">
        <f t="shared" si="3"/>
        <v>25091310</v>
      </c>
      <c r="N12" s="82">
        <f t="shared" si="2"/>
        <v>15.208873177712679</v>
      </c>
    </row>
    <row r="13" spans="1:16" s="83" customFormat="1" ht="18" customHeight="1">
      <c r="A13" s="76" t="s">
        <v>318</v>
      </c>
      <c r="B13" s="1715" t="s">
        <v>309</v>
      </c>
      <c r="C13" s="1715"/>
      <c r="D13" s="77">
        <v>0</v>
      </c>
      <c r="E13" s="77">
        <f t="shared" ref="E13:F13" si="5">E14</f>
        <v>0</v>
      </c>
      <c r="F13" s="78">
        <f t="shared" si="5"/>
        <v>0</v>
      </c>
      <c r="G13" s="79" t="e">
        <f t="shared" si="1"/>
        <v>#DIV/0!</v>
      </c>
      <c r="H13" s="89"/>
      <c r="I13" s="91"/>
      <c r="J13" s="86" t="s">
        <v>319</v>
      </c>
      <c r="K13" s="77">
        <v>187693290</v>
      </c>
      <c r="L13" s="77">
        <f>[1]라.국도비세출!F16+'[1]라-3.후원금세출'!F27+'[1]라-2.자부담세출'!F27+'[1]라-1.도시(군)세출'!F15</f>
        <v>220892110</v>
      </c>
      <c r="M13" s="81">
        <f t="shared" si="3"/>
        <v>33198820</v>
      </c>
      <c r="N13" s="82">
        <f>M13/K13*100</f>
        <v>17.687803330635848</v>
      </c>
    </row>
    <row r="14" spans="1:16" s="83" customFormat="1" ht="18" customHeight="1">
      <c r="A14" s="85"/>
      <c r="B14" s="86" t="s">
        <v>318</v>
      </c>
      <c r="C14" s="86" t="s">
        <v>312</v>
      </c>
      <c r="D14" s="77">
        <v>0</v>
      </c>
      <c r="E14" s="77">
        <f>E15</f>
        <v>0</v>
      </c>
      <c r="F14" s="78">
        <f>F15</f>
        <v>0</v>
      </c>
      <c r="G14" s="79" t="e">
        <f t="shared" si="1"/>
        <v>#DIV/0!</v>
      </c>
      <c r="H14" s="89"/>
      <c r="I14" s="92"/>
      <c r="J14" s="86" t="s">
        <v>320</v>
      </c>
      <c r="K14" s="77">
        <v>42000000</v>
      </c>
      <c r="L14" s="77">
        <f>[1]라.국도비세출!F21+'[1]라-2.자부담세출'!F32+'[1]라-3.후원금세출'!F32</f>
        <v>37000000</v>
      </c>
      <c r="M14" s="81">
        <f>L14-K14</f>
        <v>-5000000</v>
      </c>
      <c r="N14" s="82">
        <f t="shared" ref="N14:N44" si="6">M14/K14*100</f>
        <v>-11.904761904761903</v>
      </c>
    </row>
    <row r="15" spans="1:16" s="83" customFormat="1" ht="18" customHeight="1">
      <c r="A15" s="88"/>
      <c r="B15" s="86"/>
      <c r="C15" s="86" t="s">
        <v>318</v>
      </c>
      <c r="D15" s="77">
        <v>0</v>
      </c>
      <c r="E15" s="77">
        <f>[1]다.국도시세입!F12+'[1]다-2.자부담세입'!E15</f>
        <v>0</v>
      </c>
      <c r="F15" s="78">
        <f>E15-D15</f>
        <v>0</v>
      </c>
      <c r="G15" s="79" t="e">
        <f t="shared" si="1"/>
        <v>#DIV/0!</v>
      </c>
      <c r="H15" s="89"/>
      <c r="I15" s="86" t="s">
        <v>321</v>
      </c>
      <c r="J15" s="86" t="s">
        <v>312</v>
      </c>
      <c r="K15" s="77">
        <v>2490000</v>
      </c>
      <c r="L15" s="77">
        <f>L16</f>
        <v>2000000</v>
      </c>
      <c r="M15" s="81">
        <f>L15-K15</f>
        <v>-490000</v>
      </c>
      <c r="N15" s="82">
        <f t="shared" si="6"/>
        <v>-19.678714859437751</v>
      </c>
    </row>
    <row r="16" spans="1:16" s="83" customFormat="1" ht="18" customHeight="1">
      <c r="A16" s="76" t="s">
        <v>322</v>
      </c>
      <c r="B16" s="86" t="s">
        <v>309</v>
      </c>
      <c r="C16" s="86"/>
      <c r="D16" s="93">
        <v>2591323820</v>
      </c>
      <c r="E16" s="93">
        <f>E17+E23+E28</f>
        <v>2966170020</v>
      </c>
      <c r="F16" s="94">
        <f>F17+F23+F28</f>
        <v>374846200</v>
      </c>
      <c r="G16" s="79">
        <f t="shared" si="1"/>
        <v>14.46543257569407</v>
      </c>
      <c r="H16" s="89"/>
      <c r="I16" s="92"/>
      <c r="J16" s="86" t="s">
        <v>323</v>
      </c>
      <c r="K16" s="77">
        <v>2490000</v>
      </c>
      <c r="L16" s="77">
        <f>[1]라.국도비세출!F25+'[1]라-2.자부담세출'!F37+'[1]라-3.후원금세출'!F37</f>
        <v>2000000</v>
      </c>
      <c r="M16" s="81">
        <f>L16-K16</f>
        <v>-490000</v>
      </c>
      <c r="N16" s="82">
        <f t="shared" si="6"/>
        <v>-19.678714859437751</v>
      </c>
    </row>
    <row r="17" spans="1:14" s="83" customFormat="1" ht="18" customHeight="1">
      <c r="A17" s="85"/>
      <c r="B17" s="86" t="str">
        <f>[1]다.국도시세입!B14</f>
        <v>보조금수입</v>
      </c>
      <c r="C17" s="86" t="s">
        <v>312</v>
      </c>
      <c r="D17" s="93">
        <f>SUM(D18:D21)</f>
        <v>2591323820</v>
      </c>
      <c r="E17" s="93">
        <f>SUM(E18:E21)</f>
        <v>2966170020</v>
      </c>
      <c r="F17" s="94">
        <f>SUM(F18:F21)</f>
        <v>374846200</v>
      </c>
      <c r="G17" s="79">
        <f t="shared" si="1"/>
        <v>14.46543257569407</v>
      </c>
      <c r="H17" s="89"/>
      <c r="I17" s="86" t="s">
        <v>324</v>
      </c>
      <c r="J17" s="86" t="s">
        <v>312</v>
      </c>
      <c r="K17" s="77">
        <v>233013910</v>
      </c>
      <c r="L17" s="77">
        <f>SUM(L18:L23)</f>
        <v>238812865</v>
      </c>
      <c r="M17" s="81">
        <f>SUM(M18:M23)</f>
        <v>5798955</v>
      </c>
      <c r="N17" s="82">
        <f t="shared" si="6"/>
        <v>2.4886733156831706</v>
      </c>
    </row>
    <row r="18" spans="1:14" s="83" customFormat="1" ht="18" customHeight="1">
      <c r="A18" s="95"/>
      <c r="B18" s="90"/>
      <c r="C18" s="86" t="s">
        <v>325</v>
      </c>
      <c r="D18" s="93">
        <v>1672616764</v>
      </c>
      <c r="E18" s="93">
        <f>[1]다.국도시세입!F15</f>
        <v>1933028813</v>
      </c>
      <c r="F18" s="78">
        <f>E18-D18</f>
        <v>260412049</v>
      </c>
      <c r="G18" s="79">
        <f t="shared" si="1"/>
        <v>15.569140200247331</v>
      </c>
      <c r="H18" s="89"/>
      <c r="I18" s="90"/>
      <c r="J18" s="86" t="s">
        <v>326</v>
      </c>
      <c r="K18" s="77">
        <v>5000000</v>
      </c>
      <c r="L18" s="77">
        <f>[1]라.국도비세출!F27+'[1]라-3.후원금세출'!F39</f>
        <v>2000000</v>
      </c>
      <c r="M18" s="81">
        <f t="shared" ref="M18:M23" si="7">L18-K18</f>
        <v>-3000000</v>
      </c>
      <c r="N18" s="82">
        <f t="shared" si="6"/>
        <v>-60</v>
      </c>
    </row>
    <row r="19" spans="1:14" s="83" customFormat="1" ht="18" customHeight="1">
      <c r="A19" s="96"/>
      <c r="B19" s="91"/>
      <c r="C19" s="86" t="str">
        <f>[1]다.국도시세입!C20</f>
        <v>시도보조금(30%)</v>
      </c>
      <c r="D19" s="93">
        <f>[1]다.국도시세입!E20</f>
        <v>717435756</v>
      </c>
      <c r="E19" s="93">
        <f>[1]다.국도시세입!F20</f>
        <v>829040577</v>
      </c>
      <c r="F19" s="78">
        <f>E19-D19</f>
        <v>111604821</v>
      </c>
      <c r="G19" s="79">
        <f t="shared" si="1"/>
        <v>15.556071755085481</v>
      </c>
      <c r="H19" s="89"/>
      <c r="I19" s="91"/>
      <c r="J19" s="86" t="s">
        <v>327</v>
      </c>
      <c r="K19" s="77">
        <v>55288080</v>
      </c>
      <c r="L19" s="77">
        <f>[1]라.국도비세출!F28+'[1]라-2.자부담세출'!F40+'[1]라-3.후원금세출'!F40</f>
        <v>58112415</v>
      </c>
      <c r="M19" s="81">
        <f t="shared" si="7"/>
        <v>2824335</v>
      </c>
      <c r="N19" s="82">
        <f t="shared" si="6"/>
        <v>5.1083976871687353</v>
      </c>
    </row>
    <row r="20" spans="1:14" s="83" customFormat="1" ht="18" customHeight="1">
      <c r="A20" s="95"/>
      <c r="B20" s="91"/>
      <c r="C20" s="86" t="s">
        <v>328</v>
      </c>
      <c r="D20" s="93">
        <f>'[1]다-1.도시(군)세입'!E14</f>
        <v>194551300</v>
      </c>
      <c r="E20" s="93">
        <f>'[1]다-1.도시(군)세입'!F14</f>
        <v>197380630</v>
      </c>
      <c r="F20" s="78">
        <f>E20-D20</f>
        <v>2829330</v>
      </c>
      <c r="G20" s="79">
        <f t="shared" si="1"/>
        <v>1.4542848081714179</v>
      </c>
      <c r="H20" s="89"/>
      <c r="I20" s="91"/>
      <c r="J20" s="86" t="s">
        <v>329</v>
      </c>
      <c r="K20" s="77">
        <v>119100000</v>
      </c>
      <c r="L20" s="77">
        <f>[1]라.국도비세출!F29+'[1]라-2.자부담세출'!F41+'[1]라-3.후원금세출'!F43</f>
        <v>135000000</v>
      </c>
      <c r="M20" s="81">
        <f t="shared" si="7"/>
        <v>15900000</v>
      </c>
      <c r="N20" s="82">
        <f t="shared" si="6"/>
        <v>13.350125944584383</v>
      </c>
    </row>
    <row r="21" spans="1:14" s="83" customFormat="1" ht="18" customHeight="1">
      <c r="A21" s="95"/>
      <c r="B21" s="91"/>
      <c r="C21" s="86" t="str">
        <f>'[1]다-1.도시(군)세입'!C22</f>
        <v>기타보조금</v>
      </c>
      <c r="D21" s="93">
        <f>'[1]다-1.도시(군)세입'!E22</f>
        <v>6720000</v>
      </c>
      <c r="E21" s="93">
        <f>'[1]다-1.도시(군)세입'!F22</f>
        <v>6720000</v>
      </c>
      <c r="F21" s="78">
        <f>E21-D21</f>
        <v>0</v>
      </c>
      <c r="G21" s="79">
        <v>0</v>
      </c>
      <c r="H21" s="89"/>
      <c r="I21" s="91"/>
      <c r="J21" s="86" t="s">
        <v>330</v>
      </c>
      <c r="K21" s="77">
        <v>13625830</v>
      </c>
      <c r="L21" s="77">
        <f>[1]라.국도비세출!F30+'[1]라-2.자부담세출'!F42+'[1]라-3.후원금세출'!F44</f>
        <v>13700450</v>
      </c>
      <c r="M21" s="81">
        <f t="shared" si="7"/>
        <v>74620</v>
      </c>
      <c r="N21" s="82">
        <f t="shared" si="6"/>
        <v>0.5476363641701093</v>
      </c>
    </row>
    <row r="22" spans="1:14" s="83" customFormat="1" ht="18" customHeight="1">
      <c r="A22" s="97"/>
      <c r="B22" s="86"/>
      <c r="C22" s="86"/>
      <c r="D22" s="93">
        <v>0</v>
      </c>
      <c r="E22" s="93">
        <v>0</v>
      </c>
      <c r="F22" s="94">
        <f>C22-B22</f>
        <v>0</v>
      </c>
      <c r="G22" s="79">
        <v>0</v>
      </c>
      <c r="H22" s="89"/>
      <c r="I22" s="91"/>
      <c r="J22" s="86" t="s">
        <v>331</v>
      </c>
      <c r="K22" s="77">
        <v>26000000</v>
      </c>
      <c r="L22" s="77">
        <f>[1]라.국도비세출!F34+'[1]라-2.자부담세출'!F43+'[1]라-3.후원금세출'!F45</f>
        <v>23000000</v>
      </c>
      <c r="M22" s="81">
        <f t="shared" si="7"/>
        <v>-3000000</v>
      </c>
      <c r="N22" s="82">
        <f t="shared" si="6"/>
        <v>-11.538461538461538</v>
      </c>
    </row>
    <row r="23" spans="1:14" s="83" customFormat="1" ht="18" customHeight="1">
      <c r="A23" s="95"/>
      <c r="B23" s="86"/>
      <c r="C23" s="86"/>
      <c r="D23" s="93">
        <v>0</v>
      </c>
      <c r="E23" s="93">
        <f>SUM(E24:E27)</f>
        <v>0</v>
      </c>
      <c r="F23" s="94">
        <f>SUM(F24:F27)</f>
        <v>0</v>
      </c>
      <c r="G23" s="79">
        <v>0</v>
      </c>
      <c r="H23" s="98"/>
      <c r="I23" s="92"/>
      <c r="J23" s="86" t="s">
        <v>332</v>
      </c>
      <c r="K23" s="77">
        <v>14000000</v>
      </c>
      <c r="L23" s="77">
        <f>[1]라.국도비세출!F35+'[1]라-2.자부담세출'!F44+'[1]라-3.후원금세출'!F46</f>
        <v>7000000</v>
      </c>
      <c r="M23" s="81">
        <f t="shared" si="7"/>
        <v>-7000000</v>
      </c>
      <c r="N23" s="82">
        <f t="shared" si="6"/>
        <v>-50</v>
      </c>
    </row>
    <row r="24" spans="1:14" s="83" customFormat="1" ht="18" customHeight="1">
      <c r="A24" s="95"/>
      <c r="B24" s="90"/>
      <c r="C24" s="86"/>
      <c r="D24" s="93">
        <v>0</v>
      </c>
      <c r="E24" s="93">
        <f>[1]다.국도시세입!F28</f>
        <v>0</v>
      </c>
      <c r="F24" s="94">
        <f>C24-B24</f>
        <v>0</v>
      </c>
      <c r="G24" s="79">
        <v>0</v>
      </c>
      <c r="H24" s="80" t="s">
        <v>333</v>
      </c>
      <c r="I24" s="86" t="s">
        <v>309</v>
      </c>
      <c r="J24" s="86"/>
      <c r="K24" s="77">
        <v>167900000</v>
      </c>
      <c r="L24" s="77">
        <f>SUM(L25)</f>
        <v>229830000</v>
      </c>
      <c r="M24" s="81">
        <f>M25</f>
        <v>61930000</v>
      </c>
      <c r="N24" s="82">
        <f t="shared" si="6"/>
        <v>36.885050625372244</v>
      </c>
    </row>
    <row r="25" spans="1:14" s="99" customFormat="1" ht="18" customHeight="1">
      <c r="A25" s="95"/>
      <c r="B25" s="91"/>
      <c r="C25" s="86"/>
      <c r="D25" s="93">
        <v>0</v>
      </c>
      <c r="E25" s="93">
        <f>[1]다.국도시세입!F29</f>
        <v>0</v>
      </c>
      <c r="F25" s="94">
        <f>C25-B25</f>
        <v>0</v>
      </c>
      <c r="G25" s="79">
        <v>0</v>
      </c>
      <c r="H25" s="87"/>
      <c r="I25" s="86" t="s">
        <v>334</v>
      </c>
      <c r="J25" s="86" t="s">
        <v>312</v>
      </c>
      <c r="K25" s="77">
        <v>167900000</v>
      </c>
      <c r="L25" s="77">
        <f>SUM(L26:L28)</f>
        <v>229830000</v>
      </c>
      <c r="M25" s="81">
        <f>SUM(M26:M28)</f>
        <v>61930000</v>
      </c>
      <c r="N25" s="82">
        <f t="shared" si="6"/>
        <v>36.885050625372244</v>
      </c>
    </row>
    <row r="26" spans="1:14" s="99" customFormat="1" ht="18" customHeight="1">
      <c r="A26" s="95"/>
      <c r="B26" s="91"/>
      <c r="C26" s="86"/>
      <c r="D26" s="93">
        <v>0</v>
      </c>
      <c r="E26" s="93">
        <f>[1]다.국도시세입!F30</f>
        <v>0</v>
      </c>
      <c r="F26" s="94">
        <f>C26-B26</f>
        <v>0</v>
      </c>
      <c r="G26" s="79">
        <v>0</v>
      </c>
      <c r="H26" s="89"/>
      <c r="I26" s="90"/>
      <c r="J26" s="86" t="s">
        <v>334</v>
      </c>
      <c r="K26" s="77">
        <v>10000000</v>
      </c>
      <c r="L26" s="77">
        <f>[1]라.국도비세출!F38+'[1]라-2.자부담세출'!F47+'[1]라-3.후원금세출'!F49</f>
        <v>0</v>
      </c>
      <c r="M26" s="81">
        <f>L26-K26</f>
        <v>-10000000</v>
      </c>
      <c r="N26" s="82">
        <f t="shared" si="6"/>
        <v>-100</v>
      </c>
    </row>
    <row r="27" spans="1:14" s="75" customFormat="1" ht="18" customHeight="1">
      <c r="A27" s="95"/>
      <c r="B27" s="92"/>
      <c r="C27" s="86"/>
      <c r="D27" s="93">
        <v>0</v>
      </c>
      <c r="E27" s="93">
        <f>[1]다.국도시세입!F31</f>
        <v>0</v>
      </c>
      <c r="F27" s="94">
        <f>C27-B27</f>
        <v>0</v>
      </c>
      <c r="G27" s="79">
        <v>0</v>
      </c>
      <c r="H27" s="89"/>
      <c r="I27" s="91"/>
      <c r="J27" s="86" t="s">
        <v>335</v>
      </c>
      <c r="K27" s="77">
        <v>65900000</v>
      </c>
      <c r="L27" s="77">
        <f>[1]라.국도비세출!F39+'[1]라-2.자부담세출'!F48+'[1]라-3.후원금세출'!F50</f>
        <v>107730000</v>
      </c>
      <c r="M27" s="81">
        <f>L27-K27</f>
        <v>41830000</v>
      </c>
      <c r="N27" s="82">
        <f t="shared" si="6"/>
        <v>63.474962063732931</v>
      </c>
    </row>
    <row r="28" spans="1:14" s="75" customFormat="1" ht="18" customHeight="1">
      <c r="A28" s="95"/>
      <c r="B28" s="86"/>
      <c r="C28" s="86"/>
      <c r="D28" s="93">
        <v>0</v>
      </c>
      <c r="E28" s="93">
        <f>E29</f>
        <v>0</v>
      </c>
      <c r="F28" s="94">
        <f>F29</f>
        <v>0</v>
      </c>
      <c r="G28" s="79">
        <v>0</v>
      </c>
      <c r="H28" s="98"/>
      <c r="I28" s="92"/>
      <c r="J28" s="86" t="s">
        <v>336</v>
      </c>
      <c r="K28" s="77">
        <v>92000000</v>
      </c>
      <c r="L28" s="77">
        <f>[1]라.국도비세출!F40+'[1]라-2.자부담세출'!F49+'[1]라-3.후원금세출'!F51</f>
        <v>122100000</v>
      </c>
      <c r="M28" s="81">
        <f>L28-K28</f>
        <v>30100000</v>
      </c>
      <c r="N28" s="82">
        <f t="shared" si="6"/>
        <v>32.717391304347828</v>
      </c>
    </row>
    <row r="29" spans="1:14" s="83" customFormat="1" ht="18" customHeight="1">
      <c r="A29" s="88"/>
      <c r="B29" s="86"/>
      <c r="C29" s="86"/>
      <c r="D29" s="93">
        <v>0</v>
      </c>
      <c r="E29" s="93">
        <f>'[1]다-3.후원금세입'!E14</f>
        <v>0</v>
      </c>
      <c r="F29" s="78">
        <f>E29-D29</f>
        <v>0</v>
      </c>
      <c r="G29" s="79">
        <v>0</v>
      </c>
      <c r="H29" s="80" t="s">
        <v>337</v>
      </c>
      <c r="I29" s="86" t="s">
        <v>309</v>
      </c>
      <c r="J29" s="86"/>
      <c r="K29" s="77">
        <v>401372640</v>
      </c>
      <c r="L29" s="77">
        <f>SUM(L30,L36,L43)</f>
        <v>408115000</v>
      </c>
      <c r="M29" s="81">
        <f>L29-K29</f>
        <v>6742360</v>
      </c>
      <c r="N29" s="82">
        <f t="shared" si="6"/>
        <v>1.6798255107772169</v>
      </c>
    </row>
    <row r="30" spans="1:14" s="83" customFormat="1" ht="18" customHeight="1">
      <c r="A30" s="76" t="s">
        <v>338</v>
      </c>
      <c r="B30" s="86" t="s">
        <v>309</v>
      </c>
      <c r="C30" s="86"/>
      <c r="D30" s="93">
        <v>364200000</v>
      </c>
      <c r="E30" s="93">
        <f>E31+E34</f>
        <v>378500000</v>
      </c>
      <c r="F30" s="94">
        <f>F31+F34</f>
        <v>14300000</v>
      </c>
      <c r="G30" s="79">
        <f t="shared" si="1"/>
        <v>3.9264140582097746</v>
      </c>
      <c r="H30" s="87"/>
      <c r="I30" s="86" t="s">
        <v>324</v>
      </c>
      <c r="J30" s="86" t="s">
        <v>312</v>
      </c>
      <c r="K30" s="77">
        <v>254332640</v>
      </c>
      <c r="L30" s="77">
        <f>SUM(L31:L35)</f>
        <v>274239200</v>
      </c>
      <c r="M30" s="81">
        <f>SUM(M31:M35)</f>
        <v>19906560</v>
      </c>
      <c r="N30" s="82">
        <f t="shared" si="6"/>
        <v>7.8269780866506169</v>
      </c>
    </row>
    <row r="31" spans="1:14" s="83" customFormat="1" ht="18" customHeight="1">
      <c r="A31" s="85"/>
      <c r="B31" s="86" t="s">
        <v>339</v>
      </c>
      <c r="C31" s="86" t="s">
        <v>312</v>
      </c>
      <c r="D31" s="93">
        <v>364200000</v>
      </c>
      <c r="E31" s="93">
        <f>SUM(E32:E33)</f>
        <v>378500000</v>
      </c>
      <c r="F31" s="94">
        <f>SUM(F32:F33)</f>
        <v>14300000</v>
      </c>
      <c r="G31" s="79">
        <f t="shared" si="1"/>
        <v>3.9264140582097746</v>
      </c>
      <c r="H31" s="89"/>
      <c r="I31" s="90"/>
      <c r="J31" s="100" t="s">
        <v>340</v>
      </c>
      <c r="K31" s="77">
        <v>209362640</v>
      </c>
      <c r="L31" s="77">
        <f>[1]라.국도비세출!F44+[1]라.국도비세출!F45+[1]라.국도비세출!F46+'[1]라-2.자부담세출'!F52+'[1]라-3.후원금세출'!F54</f>
        <v>230739200</v>
      </c>
      <c r="M31" s="81">
        <f t="shared" ref="M31:M42" si="8">L31-K31</f>
        <v>21376560</v>
      </c>
      <c r="N31" s="82">
        <f t="shared" si="6"/>
        <v>10.210303041650603</v>
      </c>
    </row>
    <row r="32" spans="1:14" s="83" customFormat="1" ht="18" customHeight="1">
      <c r="A32" s="95"/>
      <c r="B32" s="90"/>
      <c r="C32" s="86" t="s">
        <v>341</v>
      </c>
      <c r="D32" s="93">
        <v>14200000</v>
      </c>
      <c r="E32" s="93">
        <f>'[1]다-3.후원금세입'!E18</f>
        <v>38500000</v>
      </c>
      <c r="F32" s="78">
        <f>E32-D32</f>
        <v>24300000</v>
      </c>
      <c r="G32" s="79">
        <f t="shared" si="1"/>
        <v>171.12676056338029</v>
      </c>
      <c r="H32" s="89"/>
      <c r="I32" s="91"/>
      <c r="J32" s="86" t="s">
        <v>342</v>
      </c>
      <c r="K32" s="77">
        <v>4000000</v>
      </c>
      <c r="L32" s="77">
        <f>'[1]라-2.자부담세출'!F53</f>
        <v>4000000</v>
      </c>
      <c r="M32" s="81">
        <f t="shared" si="8"/>
        <v>0</v>
      </c>
      <c r="N32" s="82">
        <f t="shared" si="6"/>
        <v>0</v>
      </c>
    </row>
    <row r="33" spans="1:14" s="83" customFormat="1" ht="18" customHeight="1">
      <c r="A33" s="95"/>
      <c r="B33" s="92"/>
      <c r="C33" s="86" t="s">
        <v>343</v>
      </c>
      <c r="D33" s="93">
        <v>350000000</v>
      </c>
      <c r="E33" s="93">
        <f>'[1]다-3.후원금세입'!E19</f>
        <v>340000000</v>
      </c>
      <c r="F33" s="78">
        <f>E33-D33</f>
        <v>-10000000</v>
      </c>
      <c r="G33" s="79">
        <f t="shared" si="1"/>
        <v>-2.8571428571428572</v>
      </c>
      <c r="H33" s="89"/>
      <c r="I33" s="91"/>
      <c r="J33" s="86" t="str">
        <f>'[1]라-2.자부담세출'!C54</f>
        <v>수용기관경비</v>
      </c>
      <c r="K33" s="77">
        <v>37970000</v>
      </c>
      <c r="L33" s="77">
        <f>[1]라.국도비세출!F47+'[1]라-2.자부담세출'!F54+'[1]라-3.후원금세출'!F55</f>
        <v>36500000</v>
      </c>
      <c r="M33" s="81">
        <f t="shared" si="8"/>
        <v>-1470000</v>
      </c>
      <c r="N33" s="82">
        <f t="shared" si="6"/>
        <v>-3.871477482222808</v>
      </c>
    </row>
    <row r="34" spans="1:14" s="83" customFormat="1" ht="18" customHeight="1">
      <c r="A34" s="95"/>
      <c r="B34" s="86"/>
      <c r="C34" s="86"/>
      <c r="D34" s="93">
        <v>0</v>
      </c>
      <c r="E34" s="93">
        <f t="shared" ref="E34:F37" si="9">E35</f>
        <v>0</v>
      </c>
      <c r="F34" s="94">
        <f t="shared" si="9"/>
        <v>0</v>
      </c>
      <c r="G34" s="79">
        <v>0</v>
      </c>
      <c r="H34" s="89"/>
      <c r="I34" s="91"/>
      <c r="J34" s="86" t="s">
        <v>344</v>
      </c>
      <c r="K34" s="77">
        <v>3000000</v>
      </c>
      <c r="L34" s="77">
        <f>'[1]라-2.자부담세출'!F57+'[1]라-3.후원금세출'!F59</f>
        <v>3000000</v>
      </c>
      <c r="M34" s="81">
        <f t="shared" si="8"/>
        <v>0</v>
      </c>
      <c r="N34" s="82">
        <f t="shared" si="6"/>
        <v>0</v>
      </c>
    </row>
    <row r="35" spans="1:14" s="83" customFormat="1" ht="18" customHeight="1">
      <c r="A35" s="88"/>
      <c r="B35" s="86"/>
      <c r="C35" s="86"/>
      <c r="D35" s="93">
        <v>0</v>
      </c>
      <c r="E35" s="93">
        <f>'[1]다-3.후원금세입'!E20</f>
        <v>0</v>
      </c>
      <c r="F35" s="78">
        <f>E35-D35</f>
        <v>0</v>
      </c>
      <c r="G35" s="79">
        <v>0</v>
      </c>
      <c r="H35" s="89"/>
      <c r="I35" s="92"/>
      <c r="J35" s="86" t="s">
        <v>345</v>
      </c>
      <c r="K35" s="77">
        <v>0</v>
      </c>
      <c r="L35" s="77">
        <f>'[1]라-3.후원금세출'!F64</f>
        <v>0</v>
      </c>
      <c r="M35" s="81">
        <f t="shared" si="8"/>
        <v>0</v>
      </c>
      <c r="N35" s="82">
        <v>0</v>
      </c>
    </row>
    <row r="36" spans="1:14" s="83" customFormat="1" ht="18" customHeight="1">
      <c r="A36" s="76" t="s">
        <v>346</v>
      </c>
      <c r="B36" s="86" t="s">
        <v>309</v>
      </c>
      <c r="C36" s="86"/>
      <c r="D36" s="93">
        <v>40000000</v>
      </c>
      <c r="E36" s="93">
        <f t="shared" si="9"/>
        <v>40000000</v>
      </c>
      <c r="F36" s="94">
        <f t="shared" si="9"/>
        <v>0</v>
      </c>
      <c r="G36" s="79">
        <f>F36/D36*100</f>
        <v>0</v>
      </c>
      <c r="H36" s="89"/>
      <c r="I36" s="86" t="s">
        <v>337</v>
      </c>
      <c r="J36" s="86" t="s">
        <v>312</v>
      </c>
      <c r="K36" s="77">
        <v>145540000</v>
      </c>
      <c r="L36" s="77">
        <f>SUM(L37:L42)</f>
        <v>131055800</v>
      </c>
      <c r="M36" s="81">
        <f t="shared" si="8"/>
        <v>-14484200</v>
      </c>
      <c r="N36" s="82">
        <f t="shared" si="6"/>
        <v>-9.95204067610279</v>
      </c>
    </row>
    <row r="37" spans="1:14" s="83" customFormat="1" ht="18" customHeight="1">
      <c r="A37" s="85"/>
      <c r="B37" s="86" t="s">
        <v>346</v>
      </c>
      <c r="C37" s="86" t="s">
        <v>312</v>
      </c>
      <c r="D37" s="93">
        <v>40000000</v>
      </c>
      <c r="E37" s="93">
        <f t="shared" si="9"/>
        <v>40000000</v>
      </c>
      <c r="F37" s="94">
        <f t="shared" si="9"/>
        <v>0</v>
      </c>
      <c r="G37" s="79">
        <f t="shared" si="1"/>
        <v>0</v>
      </c>
      <c r="H37" s="89"/>
      <c r="I37" s="91"/>
      <c r="J37" s="86" t="s">
        <v>347</v>
      </c>
      <c r="K37" s="77">
        <v>89000000</v>
      </c>
      <c r="L37" s="77">
        <f>[1]라.국도비세출!F51+'[1]라-2.자부담세출'!F75+'[1]라-3.후원금세출'!F78</f>
        <v>72427000</v>
      </c>
      <c r="M37" s="81">
        <f t="shared" si="8"/>
        <v>-16573000</v>
      </c>
      <c r="N37" s="82">
        <f t="shared" si="6"/>
        <v>-18.621348314606742</v>
      </c>
    </row>
    <row r="38" spans="1:14" s="83" customFormat="1" ht="18" customHeight="1">
      <c r="A38" s="88"/>
      <c r="B38" s="86"/>
      <c r="C38" s="86" t="s">
        <v>348</v>
      </c>
      <c r="D38" s="93">
        <v>40000000</v>
      </c>
      <c r="E38" s="93">
        <f>'[1]다-2.자부담세입'!E25</f>
        <v>40000000</v>
      </c>
      <c r="F38" s="78">
        <f>E38-D38</f>
        <v>0</v>
      </c>
      <c r="G38" s="79">
        <f t="shared" si="1"/>
        <v>0</v>
      </c>
      <c r="H38" s="89"/>
      <c r="I38" s="91"/>
      <c r="J38" s="86" t="s">
        <v>288</v>
      </c>
      <c r="K38" s="77">
        <v>5000000</v>
      </c>
      <c r="L38" s="77">
        <f>'[1]라-2.자부담세출'!F77+'[1]라-3.후원금세출'!F80</f>
        <v>5000000</v>
      </c>
      <c r="M38" s="81">
        <f t="shared" si="8"/>
        <v>0</v>
      </c>
      <c r="N38" s="82">
        <f t="shared" si="6"/>
        <v>0</v>
      </c>
    </row>
    <row r="39" spans="1:14" s="83" customFormat="1" ht="18" customHeight="1">
      <c r="A39" s="76" t="s">
        <v>349</v>
      </c>
      <c r="B39" s="86" t="s">
        <v>309</v>
      </c>
      <c r="C39" s="86"/>
      <c r="D39" s="93">
        <v>53487000</v>
      </c>
      <c r="E39" s="93">
        <f>E40</f>
        <v>53404680</v>
      </c>
      <c r="F39" s="94">
        <f>F40</f>
        <v>-82320</v>
      </c>
      <c r="G39" s="79">
        <f t="shared" si="1"/>
        <v>-0.15390655673341186</v>
      </c>
      <c r="H39" s="89"/>
      <c r="I39" s="91"/>
      <c r="J39" s="86" t="s">
        <v>289</v>
      </c>
      <c r="K39" s="77">
        <v>32840000</v>
      </c>
      <c r="L39" s="77">
        <f>'[1]라-1.도시(군)세출'!F25</f>
        <v>32840000</v>
      </c>
      <c r="M39" s="81">
        <f t="shared" si="8"/>
        <v>0</v>
      </c>
      <c r="N39" s="82">
        <f t="shared" si="6"/>
        <v>0</v>
      </c>
    </row>
    <row r="40" spans="1:14" s="83" customFormat="1" ht="18" customHeight="1">
      <c r="A40" s="85"/>
      <c r="B40" s="86" t="s">
        <v>349</v>
      </c>
      <c r="C40" s="86" t="s">
        <v>312</v>
      </c>
      <c r="D40" s="93">
        <v>53487000</v>
      </c>
      <c r="E40" s="93">
        <f>SUM(E41:E42)</f>
        <v>53404680</v>
      </c>
      <c r="F40" s="94">
        <f>SUM(F41:F42)</f>
        <v>-82320</v>
      </c>
      <c r="G40" s="79">
        <f t="shared" si="1"/>
        <v>-0.15390655673341186</v>
      </c>
      <c r="H40" s="89"/>
      <c r="I40" s="91"/>
      <c r="J40" s="86" t="s">
        <v>290</v>
      </c>
      <c r="K40" s="77">
        <v>6600000</v>
      </c>
      <c r="L40" s="77">
        <f>'[1]라-1.도시(군)세출'!F21</f>
        <v>6600000</v>
      </c>
      <c r="M40" s="81">
        <f t="shared" si="8"/>
        <v>0</v>
      </c>
      <c r="N40" s="82">
        <f t="shared" si="6"/>
        <v>0</v>
      </c>
    </row>
    <row r="41" spans="1:14" s="83" customFormat="1" ht="18" customHeight="1">
      <c r="A41" s="95"/>
      <c r="B41" s="90"/>
      <c r="C41" s="86" t="s">
        <v>350</v>
      </c>
      <c r="D41" s="93">
        <v>53487000</v>
      </c>
      <c r="E41" s="93">
        <f>[1]다.국도시세입!F34+'[1]다-2.자부담세입'!E28+'[1]다-3.후원금세입'!E31+'[1]다-1.도시(군)세입'!F23</f>
        <v>53404680</v>
      </c>
      <c r="F41" s="78">
        <f>E41-D41</f>
        <v>-82320</v>
      </c>
      <c r="G41" s="79">
        <f t="shared" si="1"/>
        <v>-0.15390655673341186</v>
      </c>
      <c r="H41" s="89"/>
      <c r="I41" s="91"/>
      <c r="J41" s="86" t="s">
        <v>351</v>
      </c>
      <c r="K41" s="77">
        <v>10000000</v>
      </c>
      <c r="L41" s="77">
        <f>'[1]라-1.도시(군)세출'!F32+'[1]라-3.후원금세출'!F81</f>
        <v>10000000</v>
      </c>
      <c r="M41" s="81">
        <f t="shared" si="8"/>
        <v>0</v>
      </c>
      <c r="N41" s="82">
        <f t="shared" si="6"/>
        <v>0</v>
      </c>
    </row>
    <row r="42" spans="1:14" s="83" customFormat="1" ht="18" customHeight="1">
      <c r="A42" s="88"/>
      <c r="B42" s="92"/>
      <c r="C42" s="86" t="s">
        <v>352</v>
      </c>
      <c r="D42" s="93">
        <v>0</v>
      </c>
      <c r="E42" s="93">
        <f>[1]다.국도시세입!F35+'[1]다-2.자부담세입'!E29</f>
        <v>0</v>
      </c>
      <c r="F42" s="78">
        <f>E42-D42</f>
        <v>0</v>
      </c>
      <c r="G42" s="79"/>
      <c r="H42" s="89"/>
      <c r="I42" s="91"/>
      <c r="J42" s="86" t="s">
        <v>292</v>
      </c>
      <c r="K42" s="77">
        <v>2100000</v>
      </c>
      <c r="L42" s="77">
        <f>[1]라.국도비세출!F52+'[1]라-1.도시(군)세출'!F33</f>
        <v>4188800</v>
      </c>
      <c r="M42" s="81">
        <f t="shared" si="8"/>
        <v>2088800</v>
      </c>
      <c r="N42" s="82">
        <f t="shared" si="6"/>
        <v>99.466666666666669</v>
      </c>
    </row>
    <row r="43" spans="1:14" s="83" customFormat="1" ht="18" customHeight="1">
      <c r="A43" s="76" t="s">
        <v>353</v>
      </c>
      <c r="B43" s="86" t="s">
        <v>309</v>
      </c>
      <c r="C43" s="86"/>
      <c r="D43" s="93">
        <v>47309180</v>
      </c>
      <c r="E43" s="93">
        <f>E44</f>
        <v>61295300</v>
      </c>
      <c r="F43" s="94">
        <f>F44</f>
        <v>13986120</v>
      </c>
      <c r="G43" s="79">
        <f t="shared" si="1"/>
        <v>29.563226418213123</v>
      </c>
      <c r="H43" s="89"/>
      <c r="I43" s="86" t="s">
        <v>354</v>
      </c>
      <c r="J43" s="86" t="s">
        <v>312</v>
      </c>
      <c r="K43" s="77">
        <v>1500000</v>
      </c>
      <c r="L43" s="77">
        <f>L44</f>
        <v>2820000</v>
      </c>
      <c r="M43" s="81">
        <f>M44</f>
        <v>1320000</v>
      </c>
      <c r="N43" s="82">
        <f t="shared" si="6"/>
        <v>88</v>
      </c>
    </row>
    <row r="44" spans="1:14" s="83" customFormat="1" ht="18" customHeight="1">
      <c r="A44" s="85"/>
      <c r="B44" s="86" t="s">
        <v>353</v>
      </c>
      <c r="C44" s="86" t="s">
        <v>312</v>
      </c>
      <c r="D44" s="93">
        <v>47309180</v>
      </c>
      <c r="E44" s="93">
        <f>SUM(E45:E47)</f>
        <v>61295300</v>
      </c>
      <c r="F44" s="94">
        <f>SUM(F45:F47)</f>
        <v>13986120</v>
      </c>
      <c r="G44" s="79">
        <f t="shared" si="1"/>
        <v>29.563226418213123</v>
      </c>
      <c r="H44" s="98"/>
      <c r="I44" s="86"/>
      <c r="J44" s="86" t="s">
        <v>355</v>
      </c>
      <c r="K44" s="77">
        <v>1500000</v>
      </c>
      <c r="L44" s="77">
        <f>'[1]라-3.후원금세출'!F88</f>
        <v>2820000</v>
      </c>
      <c r="M44" s="81">
        <f>L44-K44</f>
        <v>1320000</v>
      </c>
      <c r="N44" s="82">
        <f t="shared" si="6"/>
        <v>88</v>
      </c>
    </row>
    <row r="45" spans="1:14" s="83" customFormat="1" ht="18" customHeight="1">
      <c r="A45" s="95"/>
      <c r="B45" s="90"/>
      <c r="C45" s="86" t="s">
        <v>356</v>
      </c>
      <c r="D45" s="93">
        <v>500000</v>
      </c>
      <c r="E45" s="93">
        <f>[1]다.국도시세입!F38+'[1]다-2.자부담세입'!E32</f>
        <v>500000</v>
      </c>
      <c r="F45" s="78">
        <f>E45-D45</f>
        <v>0</v>
      </c>
      <c r="G45" s="79">
        <f t="shared" si="1"/>
        <v>0</v>
      </c>
      <c r="H45" s="80" t="s">
        <v>357</v>
      </c>
      <c r="I45" s="86" t="s">
        <v>309</v>
      </c>
      <c r="J45" s="86"/>
      <c r="K45" s="77">
        <v>800000</v>
      </c>
      <c r="L45" s="77">
        <f>L46</f>
        <v>1040105</v>
      </c>
      <c r="M45" s="81">
        <f>M46</f>
        <v>240105</v>
      </c>
      <c r="N45" s="82">
        <f t="shared" ref="N45:N53" si="10">M44/K44*100</f>
        <v>88</v>
      </c>
    </row>
    <row r="46" spans="1:14" s="83" customFormat="1" ht="18" customHeight="1">
      <c r="A46" s="95"/>
      <c r="B46" s="91"/>
      <c r="C46" s="86" t="s">
        <v>358</v>
      </c>
      <c r="D46" s="93">
        <v>1759180</v>
      </c>
      <c r="E46" s="93">
        <f>[1]다.국도시세입!F39+'[1]다-2.자부담세입'!E33+'[1]다-3.후원금세입'!E36+'[1]다-1.도시(군)세입'!F30</f>
        <v>1745300</v>
      </c>
      <c r="F46" s="78">
        <f>E46-D46</f>
        <v>-13880</v>
      </c>
      <c r="G46" s="79">
        <f t="shared" si="1"/>
        <v>-0.78900396775770532</v>
      </c>
      <c r="H46" s="87"/>
      <c r="I46" s="86" t="s">
        <v>357</v>
      </c>
      <c r="J46" s="86" t="s">
        <v>312</v>
      </c>
      <c r="K46" s="77">
        <v>800000</v>
      </c>
      <c r="L46" s="77">
        <f>SUM(L47)</f>
        <v>1040105</v>
      </c>
      <c r="M46" s="81">
        <f>M47</f>
        <v>240105</v>
      </c>
      <c r="N46" s="82">
        <f t="shared" si="10"/>
        <v>30.013125000000002</v>
      </c>
    </row>
    <row r="47" spans="1:14" s="83" customFormat="1" ht="18" customHeight="1">
      <c r="A47" s="95"/>
      <c r="B47" s="92"/>
      <c r="C47" s="90" t="s">
        <v>359</v>
      </c>
      <c r="D47" s="101">
        <v>45050000</v>
      </c>
      <c r="E47" s="101">
        <f>[1]다.국도시세입!F40+'[1]다-2.자부담세입'!E34</f>
        <v>59050000</v>
      </c>
      <c r="F47" s="78">
        <f>E47-D47</f>
        <v>14000000</v>
      </c>
      <c r="G47" s="79">
        <f t="shared" si="1"/>
        <v>31.076581576026634</v>
      </c>
      <c r="H47" s="98"/>
      <c r="I47" s="86"/>
      <c r="J47" s="86" t="s">
        <v>357</v>
      </c>
      <c r="K47" s="77">
        <v>800000</v>
      </c>
      <c r="L47" s="77">
        <f>'[1]라-3.후원금세출'!F90</f>
        <v>1040105</v>
      </c>
      <c r="M47" s="81">
        <f>L47-K47</f>
        <v>240105</v>
      </c>
      <c r="N47" s="82">
        <f t="shared" si="10"/>
        <v>30.013125000000002</v>
      </c>
    </row>
    <row r="48" spans="1:14" s="83" customFormat="1" ht="18" customHeight="1">
      <c r="A48" s="102"/>
      <c r="B48" s="103"/>
      <c r="C48" s="103"/>
      <c r="D48" s="103"/>
      <c r="E48" s="103"/>
      <c r="F48" s="104"/>
      <c r="G48" s="79"/>
      <c r="H48" s="80" t="s">
        <v>360</v>
      </c>
      <c r="I48" s="86" t="s">
        <v>309</v>
      </c>
      <c r="J48" s="86"/>
      <c r="K48" s="77">
        <v>609180</v>
      </c>
      <c r="L48" s="77">
        <f>SUM(L49)</f>
        <v>636790</v>
      </c>
      <c r="M48" s="81">
        <f>M49</f>
        <v>27610</v>
      </c>
      <c r="N48" s="82">
        <f t="shared" si="10"/>
        <v>30.013125000000002</v>
      </c>
    </row>
    <row r="49" spans="1:14" s="83" customFormat="1" ht="18" customHeight="1">
      <c r="A49" s="85"/>
      <c r="B49" s="90"/>
      <c r="C49" s="90"/>
      <c r="D49" s="105"/>
      <c r="E49" s="105"/>
      <c r="F49" s="104"/>
      <c r="G49" s="79"/>
      <c r="H49" s="87"/>
      <c r="I49" s="86" t="s">
        <v>360</v>
      </c>
      <c r="J49" s="86" t="s">
        <v>312</v>
      </c>
      <c r="K49" s="77">
        <v>609180</v>
      </c>
      <c r="L49" s="77">
        <f>SUM(L50)</f>
        <v>636790</v>
      </c>
      <c r="M49" s="81">
        <f>M50</f>
        <v>27610</v>
      </c>
      <c r="N49" s="82">
        <f t="shared" si="10"/>
        <v>4.5323221379559406</v>
      </c>
    </row>
    <row r="50" spans="1:14" s="83" customFormat="1" ht="18" customHeight="1">
      <c r="A50" s="95"/>
      <c r="B50" s="91"/>
      <c r="C50" s="91"/>
      <c r="D50" s="106"/>
      <c r="E50" s="106"/>
      <c r="F50" s="104"/>
      <c r="G50" s="79"/>
      <c r="H50" s="98"/>
      <c r="I50" s="86"/>
      <c r="J50" s="86" t="s">
        <v>360</v>
      </c>
      <c r="K50" s="77">
        <v>609180</v>
      </c>
      <c r="L50" s="77">
        <f>[1]라.국도비세출!F58+'[1]라-1.도시(군)세출'!F36</f>
        <v>636790</v>
      </c>
      <c r="M50" s="81">
        <f>L50-K50</f>
        <v>27610</v>
      </c>
      <c r="N50" s="82">
        <f t="shared" si="10"/>
        <v>4.5323221379559406</v>
      </c>
    </row>
    <row r="51" spans="1:14" s="83" customFormat="1" ht="18" customHeight="1">
      <c r="A51" s="95"/>
      <c r="B51" s="91"/>
      <c r="C51" s="91"/>
      <c r="D51" s="106"/>
      <c r="E51" s="106"/>
      <c r="F51" s="104"/>
      <c r="G51" s="107"/>
      <c r="H51" s="98" t="s">
        <v>361</v>
      </c>
      <c r="I51" s="92" t="s">
        <v>309</v>
      </c>
      <c r="J51" s="92"/>
      <c r="K51" s="108">
        <v>31287000</v>
      </c>
      <c r="L51" s="108">
        <f>SUM(L52)</f>
        <v>8513190</v>
      </c>
      <c r="M51" s="109">
        <f t="shared" ref="M51:M52" si="11">M52</f>
        <v>-22773810</v>
      </c>
      <c r="N51" s="82">
        <f t="shared" si="10"/>
        <v>4.5323221379559406</v>
      </c>
    </row>
    <row r="52" spans="1:14" s="83" customFormat="1" ht="18" customHeight="1">
      <c r="A52" s="95"/>
      <c r="B52" s="91"/>
      <c r="C52" s="91"/>
      <c r="D52" s="106"/>
      <c r="E52" s="106"/>
      <c r="F52" s="104"/>
      <c r="G52" s="107"/>
      <c r="H52" s="87"/>
      <c r="I52" s="86" t="s">
        <v>361</v>
      </c>
      <c r="J52" s="86" t="s">
        <v>312</v>
      </c>
      <c r="K52" s="77">
        <v>31287000</v>
      </c>
      <c r="L52" s="77">
        <f>SUM(L53)</f>
        <v>8513190</v>
      </c>
      <c r="M52" s="81">
        <f t="shared" si="11"/>
        <v>-22773810</v>
      </c>
      <c r="N52" s="82">
        <f t="shared" si="10"/>
        <v>-72.790008629782335</v>
      </c>
    </row>
    <row r="53" spans="1:14" s="83" customFormat="1" ht="18" customHeight="1">
      <c r="A53" s="110"/>
      <c r="B53" s="111"/>
      <c r="C53" s="111"/>
      <c r="D53" s="112"/>
      <c r="E53" s="112"/>
      <c r="F53" s="113"/>
      <c r="G53" s="114"/>
      <c r="H53" s="115"/>
      <c r="I53" s="116"/>
      <c r="J53" s="116" t="s">
        <v>362</v>
      </c>
      <c r="K53" s="117">
        <v>31287000</v>
      </c>
      <c r="L53" s="117">
        <f>[1]라.국도비세출!F61+'[1]라-1.도시(군)세출'!F39</f>
        <v>8513190</v>
      </c>
      <c r="M53" s="118">
        <f>L53-K53</f>
        <v>-22773810</v>
      </c>
      <c r="N53" s="119">
        <f t="shared" si="10"/>
        <v>-72.790008629782335</v>
      </c>
    </row>
    <row r="54" spans="1:14">
      <c r="D54" s="120"/>
      <c r="E54" s="121"/>
      <c r="F54" s="121"/>
      <c r="G54" s="121"/>
      <c r="K54" s="120"/>
      <c r="L54" s="121"/>
      <c r="M54" s="121"/>
      <c r="N54" s="122"/>
    </row>
    <row r="55" spans="1:14">
      <c r="D55" s="120"/>
      <c r="E55" s="121"/>
      <c r="F55" s="121"/>
      <c r="G55" s="121"/>
      <c r="K55" s="120"/>
      <c r="L55" s="121"/>
      <c r="M55" s="121"/>
      <c r="N55" s="122"/>
    </row>
    <row r="56" spans="1:14">
      <c r="D56" s="120"/>
      <c r="E56" s="121"/>
      <c r="F56" s="121"/>
      <c r="G56" s="121"/>
      <c r="K56" s="120"/>
      <c r="L56" s="121"/>
      <c r="M56" s="121"/>
      <c r="N56" s="122"/>
    </row>
    <row r="57" spans="1:14">
      <c r="D57" s="120"/>
      <c r="E57" s="121"/>
      <c r="F57" s="121"/>
      <c r="G57" s="121"/>
      <c r="K57" s="120"/>
      <c r="L57" s="121"/>
      <c r="M57" s="121"/>
      <c r="N57" s="122"/>
    </row>
    <row r="58" spans="1:14">
      <c r="D58" s="120"/>
      <c r="E58" s="121"/>
      <c r="F58" s="121"/>
      <c r="G58" s="121"/>
      <c r="K58" s="120"/>
      <c r="L58" s="121"/>
      <c r="M58" s="121"/>
      <c r="N58" s="122"/>
    </row>
    <row r="59" spans="1:14">
      <c r="D59" s="120"/>
      <c r="E59" s="121"/>
      <c r="F59" s="121"/>
      <c r="G59" s="121"/>
      <c r="K59" s="120"/>
      <c r="L59" s="121"/>
      <c r="M59" s="121"/>
      <c r="N59" s="122"/>
    </row>
    <row r="60" spans="1:14">
      <c r="D60" s="120"/>
      <c r="E60" s="121"/>
      <c r="F60" s="121"/>
      <c r="G60" s="121"/>
      <c r="K60" s="120"/>
      <c r="L60" s="121"/>
      <c r="M60" s="121"/>
      <c r="N60" s="122"/>
    </row>
    <row r="61" spans="1:14">
      <c r="D61" s="120"/>
      <c r="E61" s="121"/>
      <c r="F61" s="121"/>
      <c r="G61" s="121"/>
      <c r="K61" s="120"/>
      <c r="L61" s="121"/>
      <c r="M61" s="121"/>
      <c r="N61" s="122"/>
    </row>
    <row r="62" spans="1:14">
      <c r="D62" s="120"/>
      <c r="E62" s="121"/>
      <c r="F62" s="121"/>
      <c r="G62" s="121"/>
      <c r="K62" s="120"/>
      <c r="L62" s="121"/>
      <c r="M62" s="121"/>
      <c r="N62" s="122"/>
    </row>
    <row r="63" spans="1:14">
      <c r="D63" s="120"/>
      <c r="E63" s="121"/>
      <c r="F63" s="121"/>
      <c r="G63" s="121"/>
      <c r="K63" s="120"/>
      <c r="L63" s="121"/>
      <c r="M63" s="121"/>
      <c r="N63" s="122"/>
    </row>
    <row r="64" spans="1:14">
      <c r="D64" s="120"/>
      <c r="E64" s="121"/>
      <c r="F64" s="121"/>
      <c r="G64" s="121"/>
      <c r="K64" s="120"/>
      <c r="L64" s="121"/>
      <c r="M64" s="121"/>
      <c r="N64" s="122"/>
    </row>
    <row r="65" spans="4:14">
      <c r="D65" s="120"/>
      <c r="E65" s="121"/>
      <c r="F65" s="121"/>
      <c r="G65" s="121"/>
      <c r="K65" s="120"/>
      <c r="L65" s="121"/>
      <c r="M65" s="121"/>
      <c r="N65" s="122"/>
    </row>
    <row r="66" spans="4:14">
      <c r="D66" s="120"/>
      <c r="E66" s="121"/>
      <c r="F66" s="121"/>
      <c r="G66" s="121"/>
      <c r="K66" s="120"/>
      <c r="L66" s="121"/>
      <c r="M66" s="121"/>
      <c r="N66" s="122"/>
    </row>
    <row r="67" spans="4:14">
      <c r="D67" s="120"/>
      <c r="E67" s="121"/>
      <c r="F67" s="121"/>
      <c r="G67" s="121"/>
      <c r="K67" s="120"/>
      <c r="L67" s="121"/>
      <c r="M67" s="121"/>
      <c r="N67" s="122"/>
    </row>
    <row r="68" spans="4:14">
      <c r="D68" s="120"/>
      <c r="E68" s="121"/>
      <c r="F68" s="121"/>
      <c r="G68" s="121"/>
      <c r="K68" s="120"/>
      <c r="L68" s="121"/>
      <c r="M68" s="121"/>
      <c r="N68" s="122"/>
    </row>
    <row r="69" spans="4:14">
      <c r="D69" s="120"/>
      <c r="E69" s="121"/>
      <c r="F69" s="121"/>
      <c r="G69" s="121"/>
      <c r="K69" s="120"/>
      <c r="L69" s="121"/>
      <c r="M69" s="121"/>
      <c r="N69" s="122"/>
    </row>
    <row r="70" spans="4:14">
      <c r="D70" s="120"/>
      <c r="E70" s="121"/>
      <c r="F70" s="121"/>
      <c r="G70" s="121"/>
    </row>
    <row r="71" spans="4:14">
      <c r="D71" s="120"/>
      <c r="E71" s="121"/>
      <c r="F71" s="121"/>
      <c r="G71" s="121"/>
    </row>
    <row r="72" spans="4:14">
      <c r="D72" s="120"/>
      <c r="E72" s="121"/>
      <c r="F72" s="121"/>
      <c r="G72" s="121"/>
    </row>
  </sheetData>
  <mergeCells count="18">
    <mergeCell ref="B10:C10"/>
    <mergeCell ref="B13:C13"/>
    <mergeCell ref="L4:L5"/>
    <mergeCell ref="M4:N4"/>
    <mergeCell ref="A6:C6"/>
    <mergeCell ref="H6:J6"/>
    <mergeCell ref="B7:C7"/>
    <mergeCell ref="I7:J7"/>
    <mergeCell ref="A1:C1"/>
    <mergeCell ref="H1:J1"/>
    <mergeCell ref="A3:G3"/>
    <mergeCell ref="H3:N3"/>
    <mergeCell ref="A4:C4"/>
    <mergeCell ref="D4:D5"/>
    <mergeCell ref="E4:E5"/>
    <mergeCell ref="F4:G4"/>
    <mergeCell ref="H4:J4"/>
    <mergeCell ref="K4:K5"/>
  </mergeCells>
  <phoneticPr fontId="7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20</vt:i4>
      </vt:variant>
      <vt:variant>
        <vt:lpstr>이름이 지정된 범위</vt:lpstr>
      </vt:variant>
      <vt:variant>
        <vt:i4>8</vt:i4>
      </vt:variant>
    </vt:vector>
  </HeadingPairs>
  <TitlesOfParts>
    <vt:vector size="28" baseType="lpstr">
      <vt:lpstr>표지</vt:lpstr>
      <vt:lpstr>가. 예산총칙</vt:lpstr>
      <vt:lpstr>나. 세입세출(총괄)</vt:lpstr>
      <vt:lpstr>다. 세입내역서</vt:lpstr>
      <vt:lpstr>라. 세출내역서</vt:lpstr>
      <vt:lpstr>마.세입세출(개요)</vt:lpstr>
      <vt:lpstr>바. 증감사유</vt:lpstr>
      <vt:lpstr>사. 임직원보수 일람표</vt:lpstr>
      <vt:lpstr>아. 일용잡급일람표</vt:lpstr>
      <vt:lpstr>수급자보장급여</vt:lpstr>
      <vt:lpstr>4종</vt:lpstr>
      <vt:lpstr>시군구세출</vt:lpstr>
      <vt:lpstr>국도비세출</vt:lpstr>
      <vt:lpstr>자부담세출</vt:lpstr>
      <vt:lpstr>후원금세출</vt:lpstr>
      <vt:lpstr>다.후원금세입</vt:lpstr>
      <vt:lpstr>자부담세입</vt:lpstr>
      <vt:lpstr>국도비세입</vt:lpstr>
      <vt:lpstr>시군구세입</vt:lpstr>
      <vt:lpstr>세입세출내역</vt:lpstr>
      <vt:lpstr>'다. 세입내역서'!Print_Area</vt:lpstr>
      <vt:lpstr>'아. 일용잡급일람표'!Print_Area</vt:lpstr>
      <vt:lpstr>표지!Print_Area</vt:lpstr>
      <vt:lpstr>'나. 세입세출(총괄)'!Print_Titles</vt:lpstr>
      <vt:lpstr>'다. 세입내역서'!Print_Titles</vt:lpstr>
      <vt:lpstr>'라. 세출내역서'!Print_Titles</vt:lpstr>
      <vt:lpstr>'바. 증감사유'!Print_Titles</vt:lpstr>
      <vt:lpstr>'아. 일용잡급일람표'!Print_Titles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경기도곰두리공판장</dc:creator>
  <cp:lastModifiedBy>L.S.Y</cp:lastModifiedBy>
  <cp:lastPrinted>2021-03-02T03:58:02Z</cp:lastPrinted>
  <dcterms:created xsi:type="dcterms:W3CDTF">2001-04-07T08:29:30Z</dcterms:created>
  <dcterms:modified xsi:type="dcterms:W3CDTF">2021-03-02T03:58:06Z</dcterms:modified>
</cp:coreProperties>
</file>