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이선이\Documents\기존 컴퓨터 자료(D자료)\P003-회계\예산서\2023년 예산\"/>
    </mc:Choice>
  </mc:AlternateContent>
  <bookViews>
    <workbookView xWindow="0" yWindow="1350" windowWidth="28800" windowHeight="12285" tabRatio="864"/>
  </bookViews>
  <sheets>
    <sheet name="표지" sheetId="120" r:id="rId1"/>
    <sheet name="가. 예산총칙" sheetId="90" r:id="rId2"/>
    <sheet name="나. 세입세출(총괄)" sheetId="52" r:id="rId3"/>
    <sheet name="다. 세입내역서" sheetId="23" r:id="rId4"/>
    <sheet name="라. 세출내역서" sheetId="97" r:id="rId5"/>
    <sheet name="마.세입세출(개요)" sheetId="117" r:id="rId6"/>
    <sheet name="바. 증감사유" sheetId="119" r:id="rId7"/>
    <sheet name="사. 임직원보수 일람표" sheetId="92" state="hidden" r:id="rId8"/>
    <sheet name="아-1 교대인력지원인건비" sheetId="105" state="hidden" r:id="rId9"/>
    <sheet name="아-2 7종인건비" sheetId="103" state="hidden" r:id="rId10"/>
    <sheet name="아. 일용잡급일람표" sheetId="96" state="hidden" r:id="rId11"/>
    <sheet name="수급자보장급여" sheetId="106" r:id="rId12"/>
    <sheet name="4종" sheetId="107" state="hidden" r:id="rId13"/>
    <sheet name="1.국도비세출" sheetId="112" state="hidden" r:id="rId14"/>
    <sheet name="시군구세출" sheetId="113" state="hidden" r:id="rId15"/>
    <sheet name="자부담세출" sheetId="115" state="hidden" r:id="rId16"/>
    <sheet name="후원금세출" sheetId="114" state="hidden" r:id="rId17"/>
    <sheet name="다.후원금세입" sheetId="108" state="hidden" r:id="rId18"/>
    <sheet name="자부담세입" sheetId="109" state="hidden" r:id="rId19"/>
    <sheet name="국도비세입" sheetId="110" state="hidden" r:id="rId20"/>
    <sheet name="시군구세입" sheetId="111" state="hidden" r:id="rId21"/>
    <sheet name="세입세출내역" sheetId="102" state="hidden" r:id="rId22"/>
  </sheets>
  <externalReferences>
    <externalReference r:id="rId23"/>
  </externalReferences>
  <definedNames>
    <definedName name="F" localSheetId="1">#REF!</definedName>
    <definedName name="F" localSheetId="4">#REF!</definedName>
    <definedName name="F" localSheetId="6">#REF!</definedName>
    <definedName name="F" localSheetId="10">#REF!</definedName>
    <definedName name="F" localSheetId="8">#REF!</definedName>
    <definedName name="F" localSheetId="9">#REF!</definedName>
    <definedName name="F">#REF!</definedName>
    <definedName name="_xlnm.Print_Area" localSheetId="2">'나. 세입세출(총괄)'!$A$1:$O$56</definedName>
    <definedName name="_xlnm.Print_Area" localSheetId="3">'다. 세입내역서'!$A$1:$J$51</definedName>
    <definedName name="_xlnm.Print_Area" localSheetId="4">'라. 세출내역서'!$A$1:$U$846</definedName>
    <definedName name="_xlnm.Print_Area" localSheetId="5">'마.세입세출(개요)'!$A$1:$E$35</definedName>
    <definedName name="_xlnm.Print_Area" localSheetId="11">수급자보장급여!$A$1:$AE$147</definedName>
    <definedName name="_xlnm.Print_Area" localSheetId="10">'아. 일용잡급일람표'!$A$1:$O$13</definedName>
    <definedName name="_xlnm.Print_Area" localSheetId="8">'아-1 교대인력지원인건비'!$A$1:$AC$30</definedName>
    <definedName name="_xlnm.Print_Area" localSheetId="9">'아-2 7종인건비'!$A$1:$AC$12</definedName>
    <definedName name="_xlnm.Print_Area" localSheetId="0">표지!$A$1:$A$30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세출내역서'!$5:$7</definedName>
    <definedName name="_xlnm.Print_Titles" localSheetId="6">'바. 증감사유'!$3:$6</definedName>
    <definedName name="_xlnm.Print_Titles" localSheetId="7">'사. 임직원보수 일람표'!$3:$4</definedName>
    <definedName name="_xlnm.Print_Titles" localSheetId="10">'아. 일용잡급일람표'!$3:$4</definedName>
    <definedName name="_xlnm.Print_Titles" localSheetId="8">'아-1 교대인력지원인건비'!$3:$4</definedName>
    <definedName name="_xlnm.Print_Titles" localSheetId="9">'아-2 7종인건비'!$3:$4</definedName>
  </definedNames>
  <calcPr calcId="162913"/>
</workbook>
</file>

<file path=xl/calcChain.xml><?xml version="1.0" encoding="utf-8"?>
<calcChain xmlns="http://schemas.openxmlformats.org/spreadsheetml/2006/main">
  <c r="E10" i="97" l="1"/>
  <c r="E9" i="97" s="1"/>
  <c r="E8" i="97" s="1"/>
  <c r="E145" i="97"/>
  <c r="E147" i="97"/>
  <c r="E645" i="97"/>
  <c r="E649" i="97"/>
  <c r="E665" i="97"/>
  <c r="E677" i="97"/>
  <c r="E678" i="97"/>
  <c r="E683" i="97"/>
  <c r="E682" i="97" s="1"/>
  <c r="E685" i="97"/>
  <c r="K702" i="97" l="1"/>
  <c r="E35" i="23"/>
  <c r="U723" i="97"/>
  <c r="O752" i="97"/>
  <c r="U751" i="97"/>
  <c r="U724" i="97" l="1"/>
  <c r="U739" i="97"/>
  <c r="U737" i="97"/>
  <c r="J665" i="97"/>
  <c r="Z6" i="97"/>
  <c r="E45" i="23" l="1"/>
  <c r="E44" i="23"/>
  <c r="L31" i="23"/>
  <c r="L24" i="23"/>
  <c r="E42" i="23"/>
  <c r="G5" i="106" l="1"/>
  <c r="R74" i="106"/>
  <c r="R77" i="106"/>
  <c r="H74" i="106"/>
  <c r="O21" i="23"/>
  <c r="M21" i="23"/>
  <c r="P84" i="92"/>
  <c r="P83" i="92"/>
  <c r="S624" i="97"/>
  <c r="S623" i="97"/>
  <c r="S592" i="97"/>
  <c r="S591" i="97"/>
  <c r="S620" i="97"/>
  <c r="S619" i="97"/>
  <c r="O620" i="97"/>
  <c r="O619" i="97"/>
  <c r="O86" i="92"/>
  <c r="S447" i="97"/>
  <c r="S448" i="97"/>
  <c r="S449" i="97"/>
  <c r="S446" i="97"/>
  <c r="M156" i="92"/>
  <c r="M157" i="92"/>
  <c r="M158" i="92"/>
  <c r="M155" i="92"/>
  <c r="M159" i="92"/>
  <c r="M160" i="92"/>
  <c r="L155" i="92"/>
  <c r="S417" i="97"/>
  <c r="S418" i="97"/>
  <c r="S419" i="97"/>
  <c r="S420" i="97"/>
  <c r="S421" i="97"/>
  <c r="S416" i="97"/>
  <c r="M86" i="92"/>
  <c r="M85" i="92"/>
  <c r="M84" i="92"/>
  <c r="M83" i="92"/>
  <c r="M70" i="92"/>
  <c r="O323" i="97"/>
  <c r="O324" i="97"/>
  <c r="O325" i="97"/>
  <c r="O326" i="97"/>
  <c r="O327" i="97"/>
  <c r="O328" i="97"/>
  <c r="O329" i="97"/>
  <c r="O330" i="97"/>
  <c r="O331" i="97"/>
  <c r="O332" i="97"/>
  <c r="O333" i="97"/>
  <c r="O334" i="97"/>
  <c r="O335" i="97"/>
  <c r="O336" i="97"/>
  <c r="O337" i="97"/>
  <c r="O338" i="97"/>
  <c r="O339" i="97"/>
  <c r="O340" i="97"/>
  <c r="O341" i="97"/>
  <c r="O342" i="97"/>
  <c r="O343" i="97"/>
  <c r="O344" i="97"/>
  <c r="O345" i="97"/>
  <c r="O346" i="97"/>
  <c r="O347" i="97"/>
  <c r="O348" i="97"/>
  <c r="O349" i="97"/>
  <c r="O350" i="97"/>
  <c r="O351" i="97"/>
  <c r="O352" i="97"/>
  <c r="O353" i="97"/>
  <c r="O354" i="97"/>
  <c r="O355" i="97"/>
  <c r="O356" i="97"/>
  <c r="O357" i="97"/>
  <c r="O358" i="97"/>
  <c r="O359" i="97"/>
  <c r="O360" i="97"/>
  <c r="O361" i="97"/>
  <c r="O362" i="97"/>
  <c r="O363" i="97"/>
  <c r="O364" i="97"/>
  <c r="O365" i="97"/>
  <c r="O366" i="97"/>
  <c r="O367" i="97"/>
  <c r="O368" i="97"/>
  <c r="O369" i="97"/>
  <c r="O370" i="97"/>
  <c r="O371" i="97"/>
  <c r="O372" i="97"/>
  <c r="O373" i="97"/>
  <c r="O374" i="97"/>
  <c r="O375" i="97"/>
  <c r="O376" i="97"/>
  <c r="O377" i="97"/>
  <c r="O378" i="97"/>
  <c r="O379" i="97"/>
  <c r="O380" i="97"/>
  <c r="O381" i="97"/>
  <c r="O382" i="97"/>
  <c r="O383" i="97"/>
  <c r="O384" i="97"/>
  <c r="O385" i="97"/>
  <c r="O386" i="97"/>
  <c r="O387" i="97"/>
  <c r="O388" i="97"/>
  <c r="O389" i="97"/>
  <c r="O390" i="97"/>
  <c r="O391" i="97"/>
  <c r="O392" i="97"/>
  <c r="O393" i="97"/>
  <c r="O394" i="97"/>
  <c r="O395" i="97"/>
  <c r="O396" i="97"/>
  <c r="O397" i="97"/>
  <c r="O398" i="97"/>
  <c r="O399" i="97"/>
  <c r="O400" i="97"/>
  <c r="O401" i="97"/>
  <c r="O402" i="97"/>
  <c r="O403" i="97"/>
  <c r="O404" i="97"/>
  <c r="O405" i="97"/>
  <c r="O406" i="97"/>
  <c r="O407" i="97"/>
  <c r="O408" i="97"/>
  <c r="O409" i="97"/>
  <c r="O410" i="97"/>
  <c r="O411" i="97"/>
  <c r="O412" i="97"/>
  <c r="O413" i="97"/>
  <c r="O414" i="97"/>
  <c r="O415" i="97"/>
  <c r="O321" i="97"/>
  <c r="O322" i="97"/>
  <c r="O320" i="97"/>
  <c r="S322" i="97"/>
  <c r="S323" i="97"/>
  <c r="S324" i="97"/>
  <c r="S325" i="97"/>
  <c r="S326" i="97"/>
  <c r="S327" i="97"/>
  <c r="S328" i="97"/>
  <c r="S329" i="97"/>
  <c r="S330" i="97"/>
  <c r="S331" i="97"/>
  <c r="S332" i="97"/>
  <c r="S333" i="97"/>
  <c r="S334" i="97"/>
  <c r="S335" i="97"/>
  <c r="S336" i="97"/>
  <c r="S337" i="97"/>
  <c r="S338" i="97"/>
  <c r="S339" i="97"/>
  <c r="S340" i="97"/>
  <c r="S341" i="97"/>
  <c r="S342" i="97"/>
  <c r="S343" i="97"/>
  <c r="S344" i="97"/>
  <c r="S345" i="97"/>
  <c r="S346" i="97"/>
  <c r="S347" i="97"/>
  <c r="S348" i="97"/>
  <c r="S349" i="97"/>
  <c r="S350" i="97"/>
  <c r="S351" i="97"/>
  <c r="S352" i="97"/>
  <c r="S353" i="97"/>
  <c r="S354" i="97"/>
  <c r="S355" i="97"/>
  <c r="S356" i="97"/>
  <c r="S357" i="97"/>
  <c r="S358" i="97"/>
  <c r="S359" i="97"/>
  <c r="S360" i="97"/>
  <c r="S361" i="97"/>
  <c r="S362" i="97"/>
  <c r="S363" i="97"/>
  <c r="S364" i="97"/>
  <c r="S365" i="97"/>
  <c r="S366" i="97"/>
  <c r="S367" i="97"/>
  <c r="S368" i="97"/>
  <c r="S369" i="97"/>
  <c r="S370" i="97"/>
  <c r="S371" i="97"/>
  <c r="S372" i="97"/>
  <c r="S373" i="97"/>
  <c r="S374" i="97"/>
  <c r="S375" i="97"/>
  <c r="S376" i="97"/>
  <c r="S377" i="97"/>
  <c r="S378" i="97"/>
  <c r="S379" i="97"/>
  <c r="S380" i="97"/>
  <c r="S381" i="97"/>
  <c r="S382" i="97"/>
  <c r="S383" i="97"/>
  <c r="S384" i="97"/>
  <c r="S385" i="97"/>
  <c r="S386" i="97"/>
  <c r="S387" i="97"/>
  <c r="S388" i="97"/>
  <c r="S389" i="97"/>
  <c r="S390" i="97"/>
  <c r="S391" i="97"/>
  <c r="S392" i="97"/>
  <c r="S393" i="97"/>
  <c r="S394" i="97"/>
  <c r="S395" i="97"/>
  <c r="S396" i="97"/>
  <c r="S397" i="97"/>
  <c r="S398" i="97"/>
  <c r="S399" i="97"/>
  <c r="S400" i="97"/>
  <c r="S401" i="97"/>
  <c r="S402" i="97"/>
  <c r="S403" i="97"/>
  <c r="S404" i="97"/>
  <c r="S405" i="97"/>
  <c r="S406" i="97"/>
  <c r="S407" i="97"/>
  <c r="S408" i="97"/>
  <c r="S409" i="97"/>
  <c r="S410" i="97"/>
  <c r="S411" i="97"/>
  <c r="S412" i="97"/>
  <c r="S413" i="97"/>
  <c r="S414" i="97"/>
  <c r="S415" i="97"/>
  <c r="S321" i="97"/>
  <c r="S320" i="97"/>
  <c r="K67" i="92"/>
  <c r="U304" i="97"/>
  <c r="U301" i="97"/>
  <c r="U296" i="97"/>
  <c r="J143" i="92" l="1"/>
  <c r="O269" i="97"/>
  <c r="O268" i="97"/>
  <c r="O267" i="97"/>
  <c r="U267" i="97" s="1"/>
  <c r="O247" i="97"/>
  <c r="U247" i="97" s="1"/>
  <c r="O248" i="97"/>
  <c r="O249" i="97"/>
  <c r="O250" i="97"/>
  <c r="O251" i="97"/>
  <c r="U251" i="97" s="1"/>
  <c r="O252" i="97"/>
  <c r="O253" i="97"/>
  <c r="U253" i="97" s="1"/>
  <c r="O254" i="97"/>
  <c r="O255" i="97"/>
  <c r="O256" i="97"/>
  <c r="O257" i="97"/>
  <c r="O258" i="97"/>
  <c r="O259" i="97"/>
  <c r="O260" i="97"/>
  <c r="O262" i="97"/>
  <c r="U262" i="97" s="1"/>
  <c r="O263" i="97"/>
  <c r="O264" i="97"/>
  <c r="U264" i="97" s="1"/>
  <c r="O265" i="97"/>
  <c r="O266" i="97"/>
  <c r="U266" i="97" s="1"/>
  <c r="O200" i="97"/>
  <c r="O201" i="97"/>
  <c r="O202" i="97"/>
  <c r="O203" i="97"/>
  <c r="O204" i="97"/>
  <c r="O205" i="97"/>
  <c r="O206" i="97"/>
  <c r="O207" i="97"/>
  <c r="O208" i="97"/>
  <c r="O209" i="97"/>
  <c r="O210" i="97"/>
  <c r="O211" i="97"/>
  <c r="O212" i="97"/>
  <c r="O213" i="97"/>
  <c r="O214" i="97"/>
  <c r="O215" i="97"/>
  <c r="O216" i="97"/>
  <c r="O217" i="97"/>
  <c r="O218" i="97"/>
  <c r="O219" i="97"/>
  <c r="O221" i="97"/>
  <c r="O222" i="97"/>
  <c r="O223" i="97"/>
  <c r="O224" i="97"/>
  <c r="O225" i="97"/>
  <c r="U225" i="97" s="1"/>
  <c r="O226" i="97"/>
  <c r="O227" i="97"/>
  <c r="U227" i="97" s="1"/>
  <c r="O228" i="97"/>
  <c r="U228" i="97" s="1"/>
  <c r="O229" i="97"/>
  <c r="U229" i="97" s="1"/>
  <c r="O230" i="97"/>
  <c r="U230" i="97" s="1"/>
  <c r="O231" i="97"/>
  <c r="U231" i="97" s="1"/>
  <c r="O232" i="97"/>
  <c r="U232" i="97" s="1"/>
  <c r="O233" i="97"/>
  <c r="O234" i="97"/>
  <c r="O235" i="97"/>
  <c r="O236" i="97"/>
  <c r="O237" i="97"/>
  <c r="O238" i="97"/>
  <c r="O239" i="97"/>
  <c r="O240" i="97"/>
  <c r="J66" i="92"/>
  <c r="U66" i="92" s="1"/>
  <c r="V66" i="92" s="1"/>
  <c r="J65" i="92"/>
  <c r="U65" i="92" s="1"/>
  <c r="V65" i="92" s="1"/>
  <c r="J67" i="92"/>
  <c r="U67" i="92" s="1"/>
  <c r="V67" i="92" s="1"/>
  <c r="O199" i="97"/>
  <c r="O192" i="97"/>
  <c r="O193" i="97"/>
  <c r="O194" i="97"/>
  <c r="O195" i="97"/>
  <c r="O196" i="97"/>
  <c r="O197" i="97"/>
  <c r="O198" i="97"/>
  <c r="O189" i="97"/>
  <c r="O190" i="97"/>
  <c r="O191" i="97"/>
  <c r="O181" i="97"/>
  <c r="O182" i="97"/>
  <c r="O183" i="97"/>
  <c r="O184" i="97"/>
  <c r="O185" i="97"/>
  <c r="O186" i="97"/>
  <c r="O187" i="97"/>
  <c r="O188" i="97"/>
  <c r="O180" i="97"/>
  <c r="O179" i="97"/>
  <c r="O178" i="97"/>
  <c r="O172" i="97"/>
  <c r="O173" i="97"/>
  <c r="O174" i="97"/>
  <c r="O175" i="97"/>
  <c r="O176" i="97"/>
  <c r="O177" i="97"/>
  <c r="O171" i="97"/>
  <c r="O169" i="97"/>
  <c r="O170" i="97"/>
  <c r="O165" i="97"/>
  <c r="O166" i="97"/>
  <c r="O167" i="97"/>
  <c r="O168" i="97"/>
  <c r="O164" i="97"/>
  <c r="O163" i="97"/>
  <c r="O162" i="97"/>
  <c r="O160" i="97"/>
  <c r="O161" i="97"/>
  <c r="O159" i="97"/>
  <c r="U159" i="97" s="1"/>
  <c r="O158" i="97"/>
  <c r="O155" i="97"/>
  <c r="O156" i="97"/>
  <c r="O150" i="97"/>
  <c r="O151" i="97"/>
  <c r="O152" i="97"/>
  <c r="O153" i="97"/>
  <c r="O154" i="97"/>
  <c r="O149" i="97"/>
  <c r="U226" i="97"/>
  <c r="J91" i="92"/>
  <c r="U91" i="92" s="1"/>
  <c r="V91" i="92" s="1"/>
  <c r="J79" i="92"/>
  <c r="J76" i="92"/>
  <c r="J75" i="92"/>
  <c r="U76" i="92"/>
  <c r="V76" i="92" s="1"/>
  <c r="J59" i="92"/>
  <c r="J57" i="92"/>
  <c r="J16" i="92"/>
  <c r="U16" i="92" s="1"/>
  <c r="V16" i="92" s="1"/>
  <c r="J15" i="92"/>
  <c r="AB145" i="92"/>
  <c r="AC145" i="92"/>
  <c r="AB138" i="92"/>
  <c r="AB137" i="92"/>
  <c r="AB134" i="92"/>
  <c r="AB133" i="92"/>
  <c r="AB132" i="92"/>
  <c r="AB131" i="92"/>
  <c r="AB126" i="92"/>
  <c r="AB125" i="92"/>
  <c r="AB114" i="92"/>
  <c r="AB89" i="92"/>
  <c r="AC85" i="92"/>
  <c r="AC87" i="92"/>
  <c r="AC89" i="92"/>
  <c r="AC91" i="92"/>
  <c r="AB91" i="92"/>
  <c r="AB87" i="92"/>
  <c r="AB85" i="92"/>
  <c r="AB83" i="92"/>
  <c r="AB79" i="92"/>
  <c r="AB73" i="92"/>
  <c r="AB75" i="92"/>
  <c r="AB71" i="92"/>
  <c r="AB69" i="92"/>
  <c r="AB62" i="92"/>
  <c r="AB61" i="92"/>
  <c r="AB60" i="92"/>
  <c r="AB59" i="92"/>
  <c r="U206" i="92"/>
  <c r="V206" i="92" s="1"/>
  <c r="U207" i="92"/>
  <c r="V207" i="92" s="1"/>
  <c r="U208" i="92"/>
  <c r="V208" i="92"/>
  <c r="U198" i="92"/>
  <c r="V198" i="92"/>
  <c r="U199" i="92"/>
  <c r="V199" i="92" s="1"/>
  <c r="U200" i="92"/>
  <c r="V200" i="92" s="1"/>
  <c r="U201" i="92"/>
  <c r="V201" i="92" s="1"/>
  <c r="U202" i="92"/>
  <c r="V202" i="92" s="1"/>
  <c r="U203" i="92"/>
  <c r="V203" i="92"/>
  <c r="U204" i="92"/>
  <c r="V204" i="92" s="1"/>
  <c r="V197" i="92"/>
  <c r="U197" i="92"/>
  <c r="U168" i="92"/>
  <c r="V168" i="92" s="1"/>
  <c r="U169" i="92"/>
  <c r="V169" i="92" s="1"/>
  <c r="U170" i="92"/>
  <c r="V170" i="92"/>
  <c r="U171" i="92"/>
  <c r="V171" i="92" s="1"/>
  <c r="U172" i="92"/>
  <c r="V172" i="92"/>
  <c r="U173" i="92"/>
  <c r="V173" i="92" s="1"/>
  <c r="U174" i="92"/>
  <c r="V174" i="92" s="1"/>
  <c r="U175" i="92"/>
  <c r="V175" i="92" s="1"/>
  <c r="U176" i="92"/>
  <c r="V176" i="92"/>
  <c r="U177" i="92"/>
  <c r="V177" i="92" s="1"/>
  <c r="U178" i="92"/>
  <c r="V178" i="92"/>
  <c r="U179" i="92"/>
  <c r="V179" i="92" s="1"/>
  <c r="U180" i="92"/>
  <c r="V180" i="92" s="1"/>
  <c r="U181" i="92"/>
  <c r="V181" i="92" s="1"/>
  <c r="U182" i="92"/>
  <c r="V182" i="92"/>
  <c r="U183" i="92"/>
  <c r="V183" i="92" s="1"/>
  <c r="U184" i="92"/>
  <c r="V184" i="92"/>
  <c r="U185" i="92"/>
  <c r="V185" i="92" s="1"/>
  <c r="U186" i="92"/>
  <c r="V186" i="92" s="1"/>
  <c r="U187" i="92"/>
  <c r="V187" i="92" s="1"/>
  <c r="U188" i="92"/>
  <c r="V188" i="92"/>
  <c r="U189" i="92"/>
  <c r="V189" i="92" s="1"/>
  <c r="U190" i="92"/>
  <c r="V190" i="92"/>
  <c r="V167" i="92"/>
  <c r="U167" i="92"/>
  <c r="U156" i="92"/>
  <c r="V156" i="92" s="1"/>
  <c r="U157" i="92"/>
  <c r="V157" i="92" s="1"/>
  <c r="U158" i="92"/>
  <c r="V158" i="92" s="1"/>
  <c r="U159" i="92"/>
  <c r="V159" i="92" s="1"/>
  <c r="U160" i="92"/>
  <c r="V160" i="92" s="1"/>
  <c r="U124" i="92"/>
  <c r="V124" i="92" s="1"/>
  <c r="U125" i="92"/>
  <c r="V125" i="92" s="1"/>
  <c r="U126" i="92"/>
  <c r="V126" i="92"/>
  <c r="U127" i="92"/>
  <c r="V127" i="92"/>
  <c r="U128" i="92"/>
  <c r="V128" i="92"/>
  <c r="U129" i="92"/>
  <c r="V129" i="92"/>
  <c r="U130" i="92"/>
  <c r="V130" i="92" s="1"/>
  <c r="U131" i="92"/>
  <c r="V131" i="92" s="1"/>
  <c r="U132" i="92"/>
  <c r="V132" i="92"/>
  <c r="U133" i="92"/>
  <c r="V133" i="92"/>
  <c r="U134" i="92"/>
  <c r="V134" i="92"/>
  <c r="U135" i="92"/>
  <c r="V135" i="92"/>
  <c r="U136" i="92"/>
  <c r="V136" i="92" s="1"/>
  <c r="U137" i="92"/>
  <c r="V137" i="92" s="1"/>
  <c r="U138" i="92"/>
  <c r="V138" i="92"/>
  <c r="U139" i="92"/>
  <c r="V139" i="92"/>
  <c r="U140" i="92"/>
  <c r="V140" i="92"/>
  <c r="U141" i="92"/>
  <c r="V141" i="92"/>
  <c r="U142" i="92"/>
  <c r="V142" i="92" s="1"/>
  <c r="U144" i="92"/>
  <c r="V144" i="92"/>
  <c r="U145" i="92"/>
  <c r="V145" i="92"/>
  <c r="U146" i="92"/>
  <c r="V146" i="92"/>
  <c r="U123" i="92"/>
  <c r="V123" i="92" s="1"/>
  <c r="U111" i="92"/>
  <c r="V111" i="92" s="1"/>
  <c r="U112" i="92"/>
  <c r="V112" i="92" s="1"/>
  <c r="U113" i="92"/>
  <c r="V113" i="92" s="1"/>
  <c r="U114" i="92"/>
  <c r="V114" i="92" s="1"/>
  <c r="U115" i="92"/>
  <c r="V115" i="92" s="1"/>
  <c r="U110" i="92"/>
  <c r="V110" i="92" s="1"/>
  <c r="U5" i="92"/>
  <c r="U11" i="92"/>
  <c r="V11" i="92"/>
  <c r="U12" i="92"/>
  <c r="V12" i="92" s="1"/>
  <c r="U13" i="92"/>
  <c r="V13" i="92"/>
  <c r="U14" i="92"/>
  <c r="V14" i="92"/>
  <c r="U15" i="92"/>
  <c r="V15" i="92" s="1"/>
  <c r="U17" i="92"/>
  <c r="V17" i="92"/>
  <c r="U18" i="92"/>
  <c r="V18" i="92" s="1"/>
  <c r="U19" i="92"/>
  <c r="V19" i="92"/>
  <c r="U20" i="92"/>
  <c r="V20" i="92"/>
  <c r="U21" i="92"/>
  <c r="V21" i="92" s="1"/>
  <c r="U22" i="92"/>
  <c r="V22" i="92" s="1"/>
  <c r="U23" i="92"/>
  <c r="V23" i="92"/>
  <c r="U24" i="92"/>
  <c r="V24" i="92" s="1"/>
  <c r="U25" i="92"/>
  <c r="V25" i="92"/>
  <c r="U26" i="92"/>
  <c r="V26" i="92"/>
  <c r="U27" i="92"/>
  <c r="V27" i="92" s="1"/>
  <c r="U28" i="92"/>
  <c r="V28" i="92" s="1"/>
  <c r="U29" i="92"/>
  <c r="V29" i="92"/>
  <c r="U30" i="92"/>
  <c r="V30" i="92" s="1"/>
  <c r="U31" i="92"/>
  <c r="V31" i="92"/>
  <c r="U32" i="92"/>
  <c r="V32" i="92"/>
  <c r="U33" i="92"/>
  <c r="V33" i="92" s="1"/>
  <c r="U34" i="92"/>
  <c r="V34" i="92" s="1"/>
  <c r="U35" i="92"/>
  <c r="V35" i="92"/>
  <c r="U36" i="92"/>
  <c r="V36" i="92" s="1"/>
  <c r="U37" i="92"/>
  <c r="V37" i="92"/>
  <c r="U38" i="92"/>
  <c r="V38" i="92"/>
  <c r="U39" i="92"/>
  <c r="V39" i="92" s="1"/>
  <c r="U40" i="92"/>
  <c r="V40" i="92" s="1"/>
  <c r="U41" i="92"/>
  <c r="V41" i="92"/>
  <c r="U42" i="92"/>
  <c r="V42" i="92" s="1"/>
  <c r="U43" i="92"/>
  <c r="V43" i="92"/>
  <c r="U44" i="92"/>
  <c r="V44" i="92"/>
  <c r="U45" i="92"/>
  <c r="V45" i="92" s="1"/>
  <c r="U46" i="92"/>
  <c r="V46" i="92" s="1"/>
  <c r="U47" i="92"/>
  <c r="V47" i="92"/>
  <c r="U48" i="92"/>
  <c r="V48" i="92" s="1"/>
  <c r="U49" i="92"/>
  <c r="V49" i="92"/>
  <c r="U50" i="92"/>
  <c r="V50" i="92"/>
  <c r="U51" i="92"/>
  <c r="V51" i="92" s="1"/>
  <c r="U52" i="92"/>
  <c r="V52" i="92" s="1"/>
  <c r="U53" i="92"/>
  <c r="V53" i="92"/>
  <c r="U54" i="92"/>
  <c r="V54" i="92" s="1"/>
  <c r="U55" i="92"/>
  <c r="V55" i="92"/>
  <c r="U56" i="92"/>
  <c r="V56" i="92"/>
  <c r="U57" i="92"/>
  <c r="V57" i="92" s="1"/>
  <c r="U58" i="92"/>
  <c r="V58" i="92" s="1"/>
  <c r="U59" i="92"/>
  <c r="V59" i="92" s="1"/>
  <c r="U60" i="92"/>
  <c r="V60" i="92" s="1"/>
  <c r="U61" i="92"/>
  <c r="V61" i="92"/>
  <c r="U62" i="92"/>
  <c r="V62" i="92"/>
  <c r="U63" i="92"/>
  <c r="V63" i="92" s="1"/>
  <c r="U64" i="92"/>
  <c r="V64" i="92" s="1"/>
  <c r="U68" i="92"/>
  <c r="V68" i="92"/>
  <c r="U69" i="92"/>
  <c r="V69" i="92" s="1"/>
  <c r="U70" i="92"/>
  <c r="V70" i="92" s="1"/>
  <c r="U71" i="92"/>
  <c r="V71" i="92"/>
  <c r="U72" i="92"/>
  <c r="V72" i="92" s="1"/>
  <c r="U73" i="92"/>
  <c r="V73" i="92"/>
  <c r="U74" i="92"/>
  <c r="V74" i="92"/>
  <c r="U75" i="92"/>
  <c r="V75" i="92" s="1"/>
  <c r="U77" i="92"/>
  <c r="V77" i="92"/>
  <c r="U78" i="92"/>
  <c r="V78" i="92" s="1"/>
  <c r="U79" i="92"/>
  <c r="V79" i="92" s="1"/>
  <c r="U80" i="92"/>
  <c r="V80" i="92" s="1"/>
  <c r="U81" i="92"/>
  <c r="V81" i="92" s="1"/>
  <c r="U82" i="92"/>
  <c r="V82" i="92" s="1"/>
  <c r="U83" i="92"/>
  <c r="V83" i="92" s="1"/>
  <c r="U85" i="92"/>
  <c r="V85" i="92" s="1"/>
  <c r="U86" i="92"/>
  <c r="V86" i="92" s="1"/>
  <c r="U87" i="92"/>
  <c r="V87" i="92" s="1"/>
  <c r="U88" i="92"/>
  <c r="V88" i="92" s="1"/>
  <c r="U89" i="92"/>
  <c r="V89" i="92"/>
  <c r="U90" i="92"/>
  <c r="V90" i="92" s="1"/>
  <c r="U92" i="92"/>
  <c r="V92" i="92"/>
  <c r="U93" i="92"/>
  <c r="V93" i="92" s="1"/>
  <c r="U94" i="92"/>
  <c r="V94" i="92" s="1"/>
  <c r="U95" i="92"/>
  <c r="V95" i="92"/>
  <c r="U96" i="92"/>
  <c r="V96" i="92" s="1"/>
  <c r="U97" i="92"/>
  <c r="V97" i="92"/>
  <c r="U98" i="92"/>
  <c r="V98" i="92"/>
  <c r="U99" i="92"/>
  <c r="V99" i="92" s="1"/>
  <c r="U100" i="92"/>
  <c r="V100" i="92" s="1"/>
  <c r="U6" i="92"/>
  <c r="V6" i="92" s="1"/>
  <c r="U7" i="92"/>
  <c r="V7" i="92" s="1"/>
  <c r="U8" i="92"/>
  <c r="V8" i="92" s="1"/>
  <c r="U9" i="92"/>
  <c r="V9" i="92" s="1"/>
  <c r="U10" i="92"/>
  <c r="V10" i="92" s="1"/>
  <c r="V5" i="92"/>
  <c r="O96" i="92"/>
  <c r="O141" i="92"/>
  <c r="K145" i="92"/>
  <c r="K123" i="92"/>
  <c r="K75" i="92"/>
  <c r="K63" i="92"/>
  <c r="K45" i="92"/>
  <c r="Q189" i="92"/>
  <c r="G190" i="92"/>
  <c r="E189" i="92"/>
  <c r="G144" i="92"/>
  <c r="E143" i="92"/>
  <c r="E141" i="92"/>
  <c r="G96" i="92"/>
  <c r="K91" i="92"/>
  <c r="K87" i="92"/>
  <c r="K89" i="92"/>
  <c r="K85" i="92"/>
  <c r="G86" i="92"/>
  <c r="E85" i="92"/>
  <c r="K83" i="92"/>
  <c r="G84" i="92"/>
  <c r="E83" i="92"/>
  <c r="K81" i="92"/>
  <c r="G82" i="92"/>
  <c r="E81" i="92"/>
  <c r="G80" i="92"/>
  <c r="E79" i="92"/>
  <c r="K77" i="92"/>
  <c r="G78" i="92"/>
  <c r="E77" i="92"/>
  <c r="G76" i="92"/>
  <c r="E75" i="92"/>
  <c r="G74" i="92"/>
  <c r="E73" i="92"/>
  <c r="G72" i="92"/>
  <c r="E71" i="92"/>
  <c r="G70" i="92"/>
  <c r="E69" i="92"/>
  <c r="O67" i="92"/>
  <c r="E67" i="92"/>
  <c r="G66" i="92"/>
  <c r="E65" i="92"/>
  <c r="G64" i="92"/>
  <c r="E63" i="92"/>
  <c r="K61" i="92"/>
  <c r="G62" i="92"/>
  <c r="E61" i="92"/>
  <c r="G60" i="92"/>
  <c r="E59" i="92"/>
  <c r="O57" i="92"/>
  <c r="K57" i="92"/>
  <c r="K15" i="92"/>
  <c r="U143" i="92" l="1"/>
  <c r="V143" i="92" s="1"/>
  <c r="G74" i="106"/>
  <c r="G14" i="106"/>
  <c r="Y4" i="97" l="1"/>
  <c r="U700" i="97" l="1"/>
  <c r="U765" i="97"/>
  <c r="J702" i="97" l="1"/>
  <c r="E51" i="23" l="1"/>
  <c r="E775" i="97" l="1"/>
  <c r="J758" i="97"/>
  <c r="D18" i="117"/>
  <c r="E35" i="117"/>
  <c r="C7" i="117"/>
  <c r="U6" i="114" l="1"/>
  <c r="AD822" i="97"/>
  <c r="AC806" i="97"/>
  <c r="AC777" i="97"/>
  <c r="AC766" i="97"/>
  <c r="AD720" i="97"/>
  <c r="AC717" i="97"/>
  <c r="AC709" i="97"/>
  <c r="AC702" i="97"/>
  <c r="AC685" i="97"/>
  <c r="AC683" i="97"/>
  <c r="AC665" i="97"/>
  <c r="O703" i="97"/>
  <c r="H806" i="97"/>
  <c r="N214" i="92"/>
  <c r="D55" i="23"/>
  <c r="E777" i="97"/>
  <c r="U784" i="97"/>
  <c r="U778" i="97"/>
  <c r="O816" i="97"/>
  <c r="O760" i="97" l="1"/>
  <c r="O775" i="97"/>
  <c r="W145" i="97" l="1"/>
  <c r="U836" i="97" l="1"/>
  <c r="U834" i="97"/>
  <c r="U835" i="97"/>
  <c r="U826" i="97"/>
  <c r="U824" i="97"/>
  <c r="U825" i="97"/>
  <c r="H3" i="97"/>
  <c r="J776" i="97"/>
  <c r="O769" i="97"/>
  <c r="U733" i="97"/>
  <c r="U732" i="97"/>
  <c r="U731" i="97"/>
  <c r="U730" i="97"/>
  <c r="U729" i="97"/>
  <c r="U728" i="97"/>
  <c r="U712" i="97"/>
  <c r="U727" i="97" l="1"/>
  <c r="H682" i="97"/>
  <c r="H677" i="97"/>
  <c r="AA10" i="97"/>
  <c r="AD727" i="97" l="1"/>
  <c r="S453" i="97"/>
  <c r="S454" i="97" s="1"/>
  <c r="S455" i="97" s="1"/>
  <c r="S456" i="97" s="1"/>
  <c r="S457" i="97" s="1"/>
  <c r="S458" i="97" s="1"/>
  <c r="S459" i="97" s="1"/>
  <c r="S460" i="97" s="1"/>
  <c r="S461" i="97" s="1"/>
  <c r="S462" i="97" s="1"/>
  <c r="S463" i="97" s="1"/>
  <c r="S464" i="97" s="1"/>
  <c r="S465" i="97" s="1"/>
  <c r="S466" i="97" s="1"/>
  <c r="S467" i="97" s="1"/>
  <c r="S468" i="97" s="1"/>
  <c r="S469" i="97" s="1"/>
  <c r="S470" i="97" s="1"/>
  <c r="S471" i="97" s="1"/>
  <c r="S472" i="97" s="1"/>
  <c r="S473" i="97" s="1"/>
  <c r="S474" i="97" s="1"/>
  <c r="S475" i="97" s="1"/>
  <c r="S476" i="97" s="1"/>
  <c r="S477" i="97" s="1"/>
  <c r="S478" i="97" s="1"/>
  <c r="S479" i="97" s="1"/>
  <c r="S480" i="97" s="1"/>
  <c r="S481" i="97" s="1"/>
  <c r="S482" i="97" s="1"/>
  <c r="S483" i="97" s="1"/>
  <c r="S484" i="97" s="1"/>
  <c r="S485" i="97" s="1"/>
  <c r="S486" i="97" s="1"/>
  <c r="S487" i="97" s="1"/>
  <c r="S488" i="97" s="1"/>
  <c r="S489" i="97" s="1"/>
  <c r="S490" i="97" s="1"/>
  <c r="S491" i="97" s="1"/>
  <c r="S492" i="97" s="1"/>
  <c r="S493" i="97" s="1"/>
  <c r="S494" i="97" s="1"/>
  <c r="S495" i="97" s="1"/>
  <c r="S496" i="97" s="1"/>
  <c r="S497" i="97" s="1"/>
  <c r="S498" i="97" s="1"/>
  <c r="S499" i="97" s="1"/>
  <c r="S500" i="97" s="1"/>
  <c r="S501" i="97" s="1"/>
  <c r="S502" i="97" s="1"/>
  <c r="S503" i="97" s="1"/>
  <c r="S504" i="97" s="1"/>
  <c r="S505" i="97" s="1"/>
  <c r="S506" i="97" s="1"/>
  <c r="S507" i="97" s="1"/>
  <c r="S508" i="97" s="1"/>
  <c r="S509" i="97" s="1"/>
  <c r="S510" i="97" s="1"/>
  <c r="S511" i="97" s="1"/>
  <c r="S512" i="97" s="1"/>
  <c r="S513" i="97" s="1"/>
  <c r="S514" i="97" s="1"/>
  <c r="S515" i="97" s="1"/>
  <c r="S516" i="97" s="1"/>
  <c r="S517" i="97" s="1"/>
  <c r="S518" i="97" s="1"/>
  <c r="S519" i="97" s="1"/>
  <c r="S520" i="97" s="1"/>
  <c r="S521" i="97" s="1"/>
  <c r="S522" i="97" s="1"/>
  <c r="S523" i="97" s="1"/>
  <c r="S524" i="97" s="1"/>
  <c r="S525" i="97" s="1"/>
  <c r="S526" i="97" s="1"/>
  <c r="S527" i="97" s="1"/>
  <c r="S528" i="97" s="1"/>
  <c r="S529" i="97" s="1"/>
  <c r="S530" i="97" s="1"/>
  <c r="S531" i="97" s="1"/>
  <c r="S532" i="97" s="1"/>
  <c r="S533" i="97" s="1"/>
  <c r="S534" i="97" s="1"/>
  <c r="S535" i="97" s="1"/>
  <c r="S536" i="97" s="1"/>
  <c r="S537" i="97" s="1"/>
  <c r="S538" i="97" s="1"/>
  <c r="S539" i="97" s="1"/>
  <c r="S540" i="97" s="1"/>
  <c r="S541" i="97" s="1"/>
  <c r="S542" i="97" s="1"/>
  <c r="S543" i="97" s="1"/>
  <c r="S544" i="97" s="1"/>
  <c r="S545" i="97" s="1"/>
  <c r="S546" i="97" s="1"/>
  <c r="S547" i="97" s="1"/>
  <c r="S548" i="97" s="1"/>
  <c r="S549" i="97" s="1"/>
  <c r="S550" i="97" s="1"/>
  <c r="S551" i="97" s="1"/>
  <c r="S552" i="97" s="1"/>
  <c r="S553" i="97" s="1"/>
  <c r="S554" i="97" s="1"/>
  <c r="S555" i="97" s="1"/>
  <c r="S556" i="97" s="1"/>
  <c r="S557" i="97" s="1"/>
  <c r="S558" i="97" s="1"/>
  <c r="S559" i="97" s="1"/>
  <c r="S560" i="97" s="1"/>
  <c r="S561" i="97" s="1"/>
  <c r="S562" i="97" s="1"/>
  <c r="S563" i="97" s="1"/>
  <c r="S564" i="97" s="1"/>
  <c r="S565" i="97" s="1"/>
  <c r="S566" i="97" s="1"/>
  <c r="S567" i="97" s="1"/>
  <c r="S568" i="97" s="1"/>
  <c r="S569" i="97" s="1"/>
  <c r="S570" i="97" s="1"/>
  <c r="S571" i="97" s="1"/>
  <c r="S572" i="97" s="1"/>
  <c r="S573" i="97" s="1"/>
  <c r="S574" i="97" s="1"/>
  <c r="S575" i="97" s="1"/>
  <c r="S576" i="97" s="1"/>
  <c r="S577" i="97" s="1"/>
  <c r="U298" i="97" l="1"/>
  <c r="U236" i="97"/>
  <c r="U107" i="97"/>
  <c r="O143" i="97"/>
  <c r="U143" i="97" s="1"/>
  <c r="O142" i="97"/>
  <c r="O102" i="97"/>
  <c r="O101" i="97"/>
  <c r="O100" i="97"/>
  <c r="O99" i="97"/>
  <c r="Z11" i="97" l="1"/>
  <c r="Z1" i="97"/>
  <c r="R209" i="92" l="1"/>
  <c r="I205" i="92"/>
  <c r="I203" i="92"/>
  <c r="A117" i="92"/>
  <c r="U155" i="92"/>
  <c r="V155" i="92" s="1"/>
  <c r="U205" i="92" l="1"/>
  <c r="V205" i="92" s="1"/>
  <c r="I209" i="92"/>
  <c r="K10" i="97" s="1"/>
  <c r="AC10" i="97" s="1"/>
  <c r="K114" i="92"/>
  <c r="J95" i="92"/>
  <c r="L206" i="92" l="1"/>
  <c r="M206" i="92" s="1"/>
  <c r="X206" i="92" s="1"/>
  <c r="J206" i="92"/>
  <c r="R206" i="92" s="1"/>
  <c r="I206" i="92"/>
  <c r="W206" i="92" s="1"/>
  <c r="R205" i="92"/>
  <c r="X205" i="92" l="1"/>
  <c r="W205" i="92"/>
  <c r="S205" i="92"/>
  <c r="S209" i="92" s="1"/>
  <c r="S206" i="92"/>
  <c r="T206" i="92"/>
  <c r="Y206" i="92" s="1"/>
  <c r="Z206" i="92" l="1"/>
  <c r="Y205" i="92"/>
  <c r="Z205" i="92" s="1"/>
  <c r="O666" i="97"/>
  <c r="AA205" i="92" l="1"/>
  <c r="AD205" i="92" s="1"/>
  <c r="O537" i="97"/>
  <c r="U537" i="97" s="1"/>
  <c r="A150" i="92"/>
  <c r="A162" i="92"/>
  <c r="O555" i="97"/>
  <c r="U555" i="97" s="1"/>
  <c r="O196" i="92" l="1"/>
  <c r="N196" i="92"/>
  <c r="O166" i="92"/>
  <c r="N166" i="92"/>
  <c r="O154" i="92"/>
  <c r="N154" i="92"/>
  <c r="R124" i="92"/>
  <c r="O122" i="92"/>
  <c r="N122" i="92"/>
  <c r="O109" i="92"/>
  <c r="N109" i="92"/>
  <c r="O90" i="92" l="1"/>
  <c r="O767" i="97" l="1"/>
  <c r="AA4" i="97"/>
  <c r="U792" i="97" l="1"/>
  <c r="E833" i="97"/>
  <c r="O753" i="97"/>
  <c r="U755" i="97"/>
  <c r="H797" i="97"/>
  <c r="J821" i="97"/>
  <c r="J820" i="97" s="1"/>
  <c r="U644" i="97" l="1"/>
  <c r="U643" i="97"/>
  <c r="U642" i="97"/>
  <c r="U641" i="97"/>
  <c r="O423" i="97"/>
  <c r="L72" i="92"/>
  <c r="J72" i="92"/>
  <c r="I72" i="92"/>
  <c r="AC71" i="92"/>
  <c r="AD71" i="92"/>
  <c r="L71" i="92"/>
  <c r="J71" i="92"/>
  <c r="I71" i="92"/>
  <c r="L70" i="92"/>
  <c r="J70" i="92"/>
  <c r="I70" i="92"/>
  <c r="AC69" i="92"/>
  <c r="AD69" i="92"/>
  <c r="L69" i="92"/>
  <c r="J69" i="92"/>
  <c r="I69" i="92"/>
  <c r="L68" i="92"/>
  <c r="J68" i="92"/>
  <c r="I68" i="92"/>
  <c r="AC67" i="92"/>
  <c r="AD67" i="92" s="1"/>
  <c r="AB67" i="92"/>
  <c r="L67" i="92"/>
  <c r="O514" i="97" s="1"/>
  <c r="U514" i="97" s="1"/>
  <c r="I67" i="92"/>
  <c r="L66" i="92"/>
  <c r="I66" i="92"/>
  <c r="AD65" i="92"/>
  <c r="AC65" i="92"/>
  <c r="AB65" i="92"/>
  <c r="L65" i="92"/>
  <c r="I65" i="92"/>
  <c r="L64" i="92"/>
  <c r="J64" i="92"/>
  <c r="I64" i="92"/>
  <c r="AC63" i="92"/>
  <c r="AB63" i="92"/>
  <c r="AD63" i="92" s="1"/>
  <c r="L63" i="92"/>
  <c r="J63" i="92"/>
  <c r="I63" i="92"/>
  <c r="L62" i="92"/>
  <c r="U377" i="97" s="1"/>
  <c r="J62" i="92"/>
  <c r="I62" i="92"/>
  <c r="AC61" i="92"/>
  <c r="AD61" i="92"/>
  <c r="L61" i="92"/>
  <c r="J61" i="92"/>
  <c r="I61" i="92"/>
  <c r="L60" i="92"/>
  <c r="M60" i="92" s="1"/>
  <c r="J60" i="92"/>
  <c r="I60" i="92"/>
  <c r="AC59" i="92"/>
  <c r="AD59" i="92"/>
  <c r="L59" i="92"/>
  <c r="I59" i="92"/>
  <c r="L58" i="92"/>
  <c r="J58" i="92"/>
  <c r="I58" i="92"/>
  <c r="AC57" i="92"/>
  <c r="AB57" i="92"/>
  <c r="AD57" i="92" s="1"/>
  <c r="L57" i="92"/>
  <c r="I57" i="92"/>
  <c r="E57" i="92"/>
  <c r="L56" i="92"/>
  <c r="J56" i="92"/>
  <c r="I56" i="92"/>
  <c r="G56" i="92"/>
  <c r="AC55" i="92"/>
  <c r="AB55" i="92"/>
  <c r="AD55" i="92" s="1"/>
  <c r="L55" i="92"/>
  <c r="K55" i="92"/>
  <c r="J55" i="92"/>
  <c r="I55" i="92"/>
  <c r="E55" i="92"/>
  <c r="L54" i="92"/>
  <c r="J54" i="92"/>
  <c r="I54" i="92"/>
  <c r="G54" i="92"/>
  <c r="AC53" i="92"/>
  <c r="AB53" i="92"/>
  <c r="AD53" i="92" s="1"/>
  <c r="L53" i="92"/>
  <c r="J53" i="92"/>
  <c r="I53" i="92"/>
  <c r="E53" i="92"/>
  <c r="L52" i="92"/>
  <c r="J52" i="92"/>
  <c r="I52" i="92"/>
  <c r="G52" i="92"/>
  <c r="AC51" i="92"/>
  <c r="AB51" i="92"/>
  <c r="AD51" i="92" s="1"/>
  <c r="L51" i="92"/>
  <c r="O498" i="97" s="1"/>
  <c r="U498" i="97" s="1"/>
  <c r="J51" i="92"/>
  <c r="I51" i="92"/>
  <c r="E51" i="92"/>
  <c r="L50" i="92"/>
  <c r="J50" i="92"/>
  <c r="I50" i="92"/>
  <c r="G50" i="92"/>
  <c r="AC49" i="92"/>
  <c r="AD49" i="92" s="1"/>
  <c r="AB49" i="92"/>
  <c r="L49" i="92"/>
  <c r="J49" i="92"/>
  <c r="I49" i="92"/>
  <c r="E49" i="92"/>
  <c r="L48" i="92"/>
  <c r="J48" i="92"/>
  <c r="I48" i="92"/>
  <c r="G48" i="92"/>
  <c r="AC47" i="92"/>
  <c r="AD47" i="92" s="1"/>
  <c r="AB47" i="92"/>
  <c r="L47" i="92"/>
  <c r="K47" i="92"/>
  <c r="J47" i="92"/>
  <c r="I47" i="92"/>
  <c r="E47" i="92"/>
  <c r="L46" i="92"/>
  <c r="J46" i="92"/>
  <c r="I46" i="92"/>
  <c r="G46" i="92"/>
  <c r="AC45" i="92"/>
  <c r="AD45" i="92" s="1"/>
  <c r="AB45" i="92"/>
  <c r="L45" i="92"/>
  <c r="O615" i="97" s="1"/>
  <c r="J45" i="92"/>
  <c r="I45" i="92"/>
  <c r="E45" i="92"/>
  <c r="L44" i="92"/>
  <c r="J44" i="92"/>
  <c r="I44" i="92"/>
  <c r="G44" i="92"/>
  <c r="AD43" i="92"/>
  <c r="AC43" i="92"/>
  <c r="AB43" i="92"/>
  <c r="L43" i="92"/>
  <c r="O613" i="97" s="1"/>
  <c r="K43" i="92"/>
  <c r="J43" i="92"/>
  <c r="I43" i="92"/>
  <c r="E43" i="92"/>
  <c r="K157" i="92"/>
  <c r="K37" i="92"/>
  <c r="O272" i="97"/>
  <c r="U272" i="97" s="1"/>
  <c r="I157" i="92"/>
  <c r="G158" i="92"/>
  <c r="O246" i="97"/>
  <c r="Q191" i="92"/>
  <c r="J209" i="92"/>
  <c r="K209" i="92"/>
  <c r="Q209" i="92"/>
  <c r="S208" i="92"/>
  <c r="T208" i="92"/>
  <c r="W208" i="92"/>
  <c r="X208" i="92"/>
  <c r="Q199" i="92"/>
  <c r="Q201" i="92"/>
  <c r="Q203" i="92"/>
  <c r="Q197" i="92"/>
  <c r="L204" i="92"/>
  <c r="P204" i="92" s="1"/>
  <c r="J204" i="92"/>
  <c r="I204" i="92"/>
  <c r="G204" i="92"/>
  <c r="L203" i="92"/>
  <c r="P203" i="92" s="1"/>
  <c r="J203" i="92"/>
  <c r="E203" i="92"/>
  <c r="L202" i="92"/>
  <c r="M202" i="92" s="1"/>
  <c r="J202" i="92"/>
  <c r="I202" i="92"/>
  <c r="G202" i="92"/>
  <c r="L201" i="92"/>
  <c r="M201" i="92" s="1"/>
  <c r="J201" i="92"/>
  <c r="I201" i="92"/>
  <c r="E201" i="92"/>
  <c r="L200" i="92"/>
  <c r="P200" i="92" s="1"/>
  <c r="J200" i="92"/>
  <c r="I200" i="92"/>
  <c r="G200" i="92"/>
  <c r="L199" i="92"/>
  <c r="P199" i="92" s="1"/>
  <c r="I199" i="92"/>
  <c r="E199" i="92"/>
  <c r="M198" i="92"/>
  <c r="L198" i="92"/>
  <c r="P198" i="92" s="1"/>
  <c r="J198" i="92"/>
  <c r="I198" i="92"/>
  <c r="S198" i="92" s="1"/>
  <c r="G198" i="92"/>
  <c r="AD197" i="92"/>
  <c r="M197" i="92"/>
  <c r="L197" i="92"/>
  <c r="P197" i="92" s="1"/>
  <c r="I197" i="92"/>
  <c r="E197" i="92"/>
  <c r="C55" i="23"/>
  <c r="E55" i="23" s="1"/>
  <c r="O69" i="92" l="1"/>
  <c r="M69" i="92"/>
  <c r="M62" i="92"/>
  <c r="M45" i="92"/>
  <c r="M43" i="92"/>
  <c r="X43" i="92" s="1"/>
  <c r="S197" i="92"/>
  <c r="M58" i="92"/>
  <c r="O505" i="97"/>
  <c r="U505" i="97" s="1"/>
  <c r="O58" i="92"/>
  <c r="S58" i="92" s="1"/>
  <c r="X48" i="92"/>
  <c r="O497" i="97"/>
  <c r="U497" i="97" s="1"/>
  <c r="O50" i="92"/>
  <c r="S50" i="92" s="1"/>
  <c r="M63" i="92"/>
  <c r="R63" i="92" s="1"/>
  <c r="O510" i="97"/>
  <c r="U510" i="97" s="1"/>
  <c r="M65" i="92"/>
  <c r="R65" i="92" s="1"/>
  <c r="O512" i="97"/>
  <c r="U512" i="97" s="1"/>
  <c r="P202" i="92"/>
  <c r="M50" i="92"/>
  <c r="M52" i="92"/>
  <c r="O499" i="97"/>
  <c r="U499" i="97" s="1"/>
  <c r="O52" i="92"/>
  <c r="M61" i="92"/>
  <c r="S61" i="92" s="1"/>
  <c r="O508" i="97"/>
  <c r="U508" i="97" s="1"/>
  <c r="O61" i="92"/>
  <c r="R197" i="92"/>
  <c r="P48" i="92"/>
  <c r="O495" i="97"/>
  <c r="U495" i="97" s="1"/>
  <c r="O48" i="92"/>
  <c r="M59" i="92"/>
  <c r="O506" i="97"/>
  <c r="U506" i="97" s="1"/>
  <c r="O59" i="92"/>
  <c r="O519" i="97"/>
  <c r="U519" i="97" s="1"/>
  <c r="O72" i="92"/>
  <c r="P44" i="92"/>
  <c r="O491" i="97"/>
  <c r="U491" i="97" s="1"/>
  <c r="O44" i="92"/>
  <c r="P46" i="92"/>
  <c r="O493" i="97"/>
  <c r="U493" i="97" s="1"/>
  <c r="O46" i="92"/>
  <c r="M57" i="92"/>
  <c r="R57" i="92" s="1"/>
  <c r="O504" i="97"/>
  <c r="U504" i="97" s="1"/>
  <c r="M72" i="92"/>
  <c r="M55" i="92"/>
  <c r="R55" i="92" s="1"/>
  <c r="O502" i="97"/>
  <c r="U502" i="97" s="1"/>
  <c r="M66" i="92"/>
  <c r="O513" i="97"/>
  <c r="U513" i="97" s="1"/>
  <c r="O66" i="92"/>
  <c r="O515" i="97"/>
  <c r="U515" i="97" s="1"/>
  <c r="O68" i="92"/>
  <c r="O517" i="97"/>
  <c r="U517" i="97" s="1"/>
  <c r="O70" i="92"/>
  <c r="O614" i="97"/>
  <c r="M56" i="92"/>
  <c r="O503" i="97"/>
  <c r="U503" i="97" s="1"/>
  <c r="O56" i="92"/>
  <c r="S56" i="92" s="1"/>
  <c r="M54" i="92"/>
  <c r="O501" i="97"/>
  <c r="U501" i="97" s="1"/>
  <c r="O54" i="92"/>
  <c r="M53" i="92"/>
  <c r="S53" i="92" s="1"/>
  <c r="O500" i="97"/>
  <c r="U500" i="97" s="1"/>
  <c r="W60" i="92"/>
  <c r="T60" i="92"/>
  <c r="X60" i="92"/>
  <c r="M68" i="92"/>
  <c r="O616" i="97"/>
  <c r="M49" i="92"/>
  <c r="W49" i="92" s="1"/>
  <c r="O496" i="97"/>
  <c r="U496" i="97" s="1"/>
  <c r="M51" i="92"/>
  <c r="M64" i="92"/>
  <c r="O511" i="97"/>
  <c r="U511" i="97" s="1"/>
  <c r="O64" i="92"/>
  <c r="W64" i="92" s="1"/>
  <c r="M67" i="92"/>
  <c r="S67" i="92" s="1"/>
  <c r="R198" i="92"/>
  <c r="P43" i="92"/>
  <c r="S43" i="92" s="1"/>
  <c r="O490" i="97"/>
  <c r="U490" i="97" s="1"/>
  <c r="O507" i="97"/>
  <c r="O60" i="92"/>
  <c r="O509" i="97"/>
  <c r="U509" i="97" s="1"/>
  <c r="O62" i="92"/>
  <c r="S62" i="92" s="1"/>
  <c r="O618" i="97"/>
  <c r="R69" i="92"/>
  <c r="O516" i="97"/>
  <c r="U516" i="97" s="1"/>
  <c r="P45" i="92"/>
  <c r="R45" i="92" s="1"/>
  <c r="O492" i="97"/>
  <c r="U492" i="97" s="1"/>
  <c r="P47" i="92"/>
  <c r="O494" i="97"/>
  <c r="U494" i="97" s="1"/>
  <c r="S65" i="92"/>
  <c r="M71" i="92"/>
  <c r="R71" i="92" s="1"/>
  <c r="O518" i="97"/>
  <c r="U518" i="97" s="1"/>
  <c r="O617" i="97"/>
  <c r="U640" i="97"/>
  <c r="M48" i="92"/>
  <c r="M47" i="92"/>
  <c r="M46" i="92"/>
  <c r="W46" i="92" s="1"/>
  <c r="M44" i="92"/>
  <c r="S44" i="92" s="1"/>
  <c r="S202" i="92"/>
  <c r="R202" i="92"/>
  <c r="S201" i="92"/>
  <c r="R201" i="92"/>
  <c r="P201" i="92"/>
  <c r="P209" i="92" s="1"/>
  <c r="M204" i="92"/>
  <c r="S204" i="92" s="1"/>
  <c r="M199" i="92"/>
  <c r="M209" i="92" s="1"/>
  <c r="M203" i="92"/>
  <c r="S203" i="92" s="1"/>
  <c r="M200" i="92"/>
  <c r="R200" i="92" s="1"/>
  <c r="G146" i="92"/>
  <c r="L146" i="92"/>
  <c r="J146" i="92"/>
  <c r="I146" i="92"/>
  <c r="AD145" i="92"/>
  <c r="L145" i="92"/>
  <c r="J145" i="92"/>
  <c r="I145" i="92"/>
  <c r="E145" i="92"/>
  <c r="L144" i="92"/>
  <c r="J144" i="92"/>
  <c r="I144" i="92"/>
  <c r="AC143" i="92"/>
  <c r="AD143" i="92" s="1"/>
  <c r="AB143" i="92"/>
  <c r="L143" i="92"/>
  <c r="I143" i="92"/>
  <c r="L142" i="92"/>
  <c r="I142" i="92"/>
  <c r="AD141" i="92"/>
  <c r="AC141" i="92"/>
  <c r="AB141" i="92"/>
  <c r="L141" i="92"/>
  <c r="J141" i="92"/>
  <c r="I141" i="92"/>
  <c r="L140" i="92"/>
  <c r="J140" i="92"/>
  <c r="I140" i="92"/>
  <c r="AC139" i="92"/>
  <c r="AD139" i="92" s="1"/>
  <c r="AB139" i="92"/>
  <c r="L139" i="92"/>
  <c r="J139" i="92"/>
  <c r="I139" i="92"/>
  <c r="E139" i="92"/>
  <c r="L138" i="92"/>
  <c r="I138" i="92"/>
  <c r="G138" i="92"/>
  <c r="AC137" i="92"/>
  <c r="AD137" i="92" s="1"/>
  <c r="L137" i="92"/>
  <c r="K137" i="92"/>
  <c r="J137" i="92"/>
  <c r="I137" i="92"/>
  <c r="E137" i="92"/>
  <c r="L136" i="92"/>
  <c r="J136" i="92"/>
  <c r="I136" i="92"/>
  <c r="G136" i="92"/>
  <c r="AC135" i="92"/>
  <c r="AB135" i="92"/>
  <c r="AD135" i="92" s="1"/>
  <c r="L135" i="92"/>
  <c r="J135" i="92"/>
  <c r="I135" i="92"/>
  <c r="E135" i="92"/>
  <c r="L134" i="92"/>
  <c r="J134" i="92"/>
  <c r="I134" i="92"/>
  <c r="G134" i="92"/>
  <c r="AD133" i="92"/>
  <c r="AC133" i="92"/>
  <c r="L133" i="92"/>
  <c r="J133" i="92"/>
  <c r="I133" i="92"/>
  <c r="E133" i="92"/>
  <c r="L132" i="92"/>
  <c r="J132" i="92"/>
  <c r="I132" i="92"/>
  <c r="G132" i="92"/>
  <c r="AC131" i="92"/>
  <c r="AD131" i="92" s="1"/>
  <c r="L131" i="92"/>
  <c r="K131" i="92"/>
  <c r="J131" i="92"/>
  <c r="I131" i="92"/>
  <c r="E131" i="92"/>
  <c r="L130" i="92"/>
  <c r="J130" i="92"/>
  <c r="I130" i="92"/>
  <c r="AC129" i="92"/>
  <c r="AD129" i="92" s="1"/>
  <c r="AB129" i="92"/>
  <c r="L129" i="92"/>
  <c r="J129" i="92"/>
  <c r="I129" i="92"/>
  <c r="E129" i="92"/>
  <c r="L128" i="92"/>
  <c r="I128" i="92"/>
  <c r="AC127" i="92"/>
  <c r="AD127" i="92" s="1"/>
  <c r="AB127" i="92"/>
  <c r="L127" i="92"/>
  <c r="J127" i="92"/>
  <c r="I127" i="92"/>
  <c r="E127" i="92"/>
  <c r="L126" i="92"/>
  <c r="J126" i="92"/>
  <c r="I126" i="92"/>
  <c r="G126" i="92"/>
  <c r="AC125" i="92"/>
  <c r="AD125" i="92" s="1"/>
  <c r="L125" i="92"/>
  <c r="J125" i="92"/>
  <c r="I125" i="92"/>
  <c r="E125" i="92"/>
  <c r="L124" i="92"/>
  <c r="M124" i="92" s="1"/>
  <c r="J124" i="92"/>
  <c r="I124" i="92"/>
  <c r="AD123" i="92"/>
  <c r="AC123" i="92"/>
  <c r="AB123" i="92"/>
  <c r="L123" i="92"/>
  <c r="J123" i="92"/>
  <c r="I123" i="92"/>
  <c r="E123" i="92"/>
  <c r="AB81" i="92"/>
  <c r="R52" i="92" l="1"/>
  <c r="T72" i="92"/>
  <c r="S70" i="92"/>
  <c r="W67" i="92"/>
  <c r="R66" i="92"/>
  <c r="W58" i="92"/>
  <c r="S69" i="92"/>
  <c r="T68" i="92"/>
  <c r="R67" i="92"/>
  <c r="W63" i="92"/>
  <c r="T63" i="92"/>
  <c r="S51" i="92"/>
  <c r="T49" i="92"/>
  <c r="M123" i="92"/>
  <c r="O554" i="97"/>
  <c r="U554" i="97" s="1"/>
  <c r="O123" i="92"/>
  <c r="O422" i="97"/>
  <c r="R68" i="92"/>
  <c r="R62" i="92"/>
  <c r="T59" i="92"/>
  <c r="X58" i="92"/>
  <c r="R54" i="92"/>
  <c r="W52" i="92"/>
  <c r="X52" i="92"/>
  <c r="X50" i="92"/>
  <c r="W50" i="92"/>
  <c r="T50" i="92"/>
  <c r="R50" i="92"/>
  <c r="X72" i="92"/>
  <c r="W72" i="92"/>
  <c r="X68" i="92"/>
  <c r="W68" i="92"/>
  <c r="T65" i="92"/>
  <c r="X65" i="92"/>
  <c r="W65" i="92"/>
  <c r="X64" i="92"/>
  <c r="X63" i="92"/>
  <c r="S63" i="92"/>
  <c r="T62" i="92"/>
  <c r="T61" i="92"/>
  <c r="W61" i="92"/>
  <c r="W59" i="92"/>
  <c r="R58" i="92"/>
  <c r="T58" i="92"/>
  <c r="W56" i="92"/>
  <c r="T55" i="92"/>
  <c r="X55" i="92"/>
  <c r="T54" i="92"/>
  <c r="X54" i="92"/>
  <c r="X53" i="92"/>
  <c r="T52" i="92"/>
  <c r="S52" i="92"/>
  <c r="W51" i="92"/>
  <c r="X51" i="92"/>
  <c r="T51" i="92"/>
  <c r="R51" i="92"/>
  <c r="S49" i="92"/>
  <c r="R48" i="92"/>
  <c r="T45" i="92"/>
  <c r="Y45" i="92" s="1"/>
  <c r="Z45" i="92" s="1"/>
  <c r="W45" i="92"/>
  <c r="X45" i="92"/>
  <c r="S45" i="92"/>
  <c r="R44" i="92"/>
  <c r="S140" i="92"/>
  <c r="X66" i="92"/>
  <c r="W197" i="92"/>
  <c r="X197" i="92"/>
  <c r="T197" i="92"/>
  <c r="K147" i="97"/>
  <c r="AC147" i="97" s="1"/>
  <c r="M133" i="92"/>
  <c r="R133" i="92" s="1"/>
  <c r="O564" i="97"/>
  <c r="U564" i="97" s="1"/>
  <c r="O432" i="97"/>
  <c r="M145" i="92"/>
  <c r="R145" i="92" s="1"/>
  <c r="O576" i="97"/>
  <c r="U576" i="97" s="1"/>
  <c r="O444" i="97"/>
  <c r="X69" i="92"/>
  <c r="T71" i="92"/>
  <c r="S60" i="92"/>
  <c r="T64" i="92"/>
  <c r="T43" i="92"/>
  <c r="W66" i="92"/>
  <c r="W54" i="92"/>
  <c r="W55" i="92"/>
  <c r="X44" i="92"/>
  <c r="S72" i="92"/>
  <c r="W48" i="92"/>
  <c r="M142" i="92"/>
  <c r="O573" i="97"/>
  <c r="U573" i="97" s="1"/>
  <c r="O142" i="92"/>
  <c r="S142" i="92" s="1"/>
  <c r="O441" i="97"/>
  <c r="R203" i="92"/>
  <c r="X71" i="92"/>
  <c r="S66" i="92"/>
  <c r="S54" i="92"/>
  <c r="S68" i="92"/>
  <c r="S55" i="92"/>
  <c r="W44" i="92"/>
  <c r="T48" i="92"/>
  <c r="M131" i="92"/>
  <c r="R131" i="92" s="1"/>
  <c r="O562" i="97"/>
  <c r="U562" i="97" s="1"/>
  <c r="O430" i="97"/>
  <c r="T124" i="92"/>
  <c r="S124" i="92"/>
  <c r="W124" i="92"/>
  <c r="X124" i="92"/>
  <c r="M126" i="92"/>
  <c r="O557" i="97"/>
  <c r="U557" i="97" s="1"/>
  <c r="O126" i="92"/>
  <c r="S126" i="92" s="1"/>
  <c r="O425" i="97"/>
  <c r="T69" i="92"/>
  <c r="W71" i="92"/>
  <c r="R43" i="92"/>
  <c r="S64" i="92"/>
  <c r="X59" i="92"/>
  <c r="T44" i="92"/>
  <c r="S48" i="92"/>
  <c r="W69" i="92"/>
  <c r="M140" i="92"/>
  <c r="R140" i="92" s="1"/>
  <c r="O571" i="97"/>
  <c r="U571" i="97" s="1"/>
  <c r="O439" i="97"/>
  <c r="M138" i="92"/>
  <c r="O569" i="97"/>
  <c r="U569" i="97" s="1"/>
  <c r="O138" i="92"/>
  <c r="T138" i="92" s="1"/>
  <c r="O437" i="97"/>
  <c r="M143" i="92"/>
  <c r="R143" i="92" s="1"/>
  <c r="O574" i="97"/>
  <c r="U574" i="97" s="1"/>
  <c r="O143" i="92"/>
  <c r="O442" i="97"/>
  <c r="S71" i="92"/>
  <c r="R47" i="92"/>
  <c r="X62" i="92"/>
  <c r="R49" i="92"/>
  <c r="W43" i="92"/>
  <c r="W57" i="92"/>
  <c r="T46" i="92"/>
  <c r="S46" i="92"/>
  <c r="M129" i="92"/>
  <c r="O560" i="97"/>
  <c r="U560" i="97" s="1"/>
  <c r="O129" i="92"/>
  <c r="S129" i="92" s="1"/>
  <c r="O428" i="97"/>
  <c r="T198" i="92"/>
  <c r="W198" i="92"/>
  <c r="X198" i="92"/>
  <c r="T67" i="92"/>
  <c r="W62" i="92"/>
  <c r="T53" i="92"/>
  <c r="W70" i="92"/>
  <c r="R59" i="92"/>
  <c r="S59" i="92"/>
  <c r="T57" i="92"/>
  <c r="S133" i="92"/>
  <c r="T66" i="92"/>
  <c r="R46" i="92"/>
  <c r="R135" i="92"/>
  <c r="M135" i="92"/>
  <c r="S135" i="92" s="1"/>
  <c r="O566" i="97"/>
  <c r="U566" i="97" s="1"/>
  <c r="O434" i="97"/>
  <c r="R64" i="92"/>
  <c r="M136" i="92"/>
  <c r="O567" i="97"/>
  <c r="U567" i="97" s="1"/>
  <c r="O136" i="92"/>
  <c r="S136" i="92" s="1"/>
  <c r="O435" i="97"/>
  <c r="M146" i="92"/>
  <c r="O577" i="97"/>
  <c r="U577" i="97" s="1"/>
  <c r="O146" i="92"/>
  <c r="O445" i="97"/>
  <c r="R60" i="92"/>
  <c r="X67" i="92"/>
  <c r="X47" i="92"/>
  <c r="R53" i="92"/>
  <c r="R72" i="92"/>
  <c r="X57" i="92"/>
  <c r="X46" i="92"/>
  <c r="M128" i="92"/>
  <c r="R128" i="92" s="1"/>
  <c r="O559" i="97"/>
  <c r="U559" i="97" s="1"/>
  <c r="O427" i="97"/>
  <c r="T56" i="92"/>
  <c r="T47" i="92"/>
  <c r="X70" i="92"/>
  <c r="M137" i="92"/>
  <c r="R137" i="92" s="1"/>
  <c r="O568" i="97"/>
  <c r="U568" i="97" s="1"/>
  <c r="O436" i="97"/>
  <c r="R56" i="92"/>
  <c r="M134" i="92"/>
  <c r="O565" i="97"/>
  <c r="U565" i="97" s="1"/>
  <c r="O134" i="92"/>
  <c r="O433" i="97"/>
  <c r="X56" i="92"/>
  <c r="X61" i="92"/>
  <c r="W47" i="92"/>
  <c r="X49" i="92"/>
  <c r="Y49" i="92" s="1"/>
  <c r="Z49" i="92" s="1"/>
  <c r="R70" i="92"/>
  <c r="W53" i="92"/>
  <c r="T70" i="92"/>
  <c r="S57" i="92"/>
  <c r="T131" i="92"/>
  <c r="S131" i="92"/>
  <c r="W131" i="92"/>
  <c r="X131" i="92"/>
  <c r="X130" i="92"/>
  <c r="M141" i="92"/>
  <c r="R141" i="92" s="1"/>
  <c r="O572" i="97"/>
  <c r="U572" i="97" s="1"/>
  <c r="O440" i="97"/>
  <c r="M127" i="92"/>
  <c r="O558" i="97"/>
  <c r="U558" i="97" s="1"/>
  <c r="O127" i="92"/>
  <c r="O426" i="97"/>
  <c r="M132" i="92"/>
  <c r="O563" i="97"/>
  <c r="U563" i="97" s="1"/>
  <c r="O132" i="92"/>
  <c r="O431" i="97"/>
  <c r="X123" i="92"/>
  <c r="S123" i="92"/>
  <c r="W123" i="92"/>
  <c r="T123" i="92"/>
  <c r="M125" i="92"/>
  <c r="R125" i="92" s="1"/>
  <c r="O556" i="97"/>
  <c r="U556" i="97" s="1"/>
  <c r="O424" i="97"/>
  <c r="M130" i="92"/>
  <c r="S130" i="92" s="1"/>
  <c r="O561" i="97"/>
  <c r="U561" i="97" s="1"/>
  <c r="O429" i="97"/>
  <c r="M139" i="92"/>
  <c r="R139" i="92" s="1"/>
  <c r="O570" i="97"/>
  <c r="U570" i="97" s="1"/>
  <c r="O139" i="92"/>
  <c r="O438" i="97"/>
  <c r="M144" i="92"/>
  <c r="R144" i="92" s="1"/>
  <c r="O575" i="97"/>
  <c r="U575" i="97" s="1"/>
  <c r="O443" i="97"/>
  <c r="S47" i="92"/>
  <c r="R61" i="92"/>
  <c r="Y50" i="92"/>
  <c r="Z50" i="92" s="1"/>
  <c r="Y60" i="92"/>
  <c r="Z60" i="92" s="1"/>
  <c r="Y55" i="92"/>
  <c r="Z55" i="92" s="1"/>
  <c r="Y51" i="92"/>
  <c r="Z51" i="92" s="1"/>
  <c r="X200" i="92"/>
  <c r="W200" i="92"/>
  <c r="T200" i="92"/>
  <c r="S199" i="92"/>
  <c r="R199" i="92"/>
  <c r="S200" i="92"/>
  <c r="X203" i="92"/>
  <c r="W203" i="92"/>
  <c r="T203" i="92"/>
  <c r="R204" i="92"/>
  <c r="T202" i="92"/>
  <c r="W202" i="92"/>
  <c r="X202" i="92"/>
  <c r="X201" i="92"/>
  <c r="W201" i="92"/>
  <c r="T201" i="92"/>
  <c r="Y72" i="92" l="1"/>
  <c r="Z72" i="92" s="1"/>
  <c r="Y67" i="92"/>
  <c r="Z67" i="92" s="1"/>
  <c r="W143" i="92"/>
  <c r="S143" i="92"/>
  <c r="X143" i="92"/>
  <c r="X135" i="92"/>
  <c r="T133" i="92"/>
  <c r="W129" i="92"/>
  <c r="R123" i="92"/>
  <c r="Y71" i="92"/>
  <c r="Z71" i="92" s="1"/>
  <c r="Y65" i="92"/>
  <c r="Z65" i="92" s="1"/>
  <c r="Y61" i="92"/>
  <c r="Z61" i="92" s="1"/>
  <c r="Y58" i="92"/>
  <c r="Z58" i="92" s="1"/>
  <c r="Y53" i="92"/>
  <c r="Z53" i="92" s="1"/>
  <c r="Y52" i="92"/>
  <c r="Z52" i="92" s="1"/>
  <c r="S146" i="92"/>
  <c r="T145" i="92"/>
  <c r="X145" i="92"/>
  <c r="W145" i="92"/>
  <c r="Y145" i="92" s="1"/>
  <c r="Z145" i="92" s="1"/>
  <c r="R138" i="92"/>
  <c r="W137" i="92"/>
  <c r="X137" i="92"/>
  <c r="T137" i="92"/>
  <c r="S137" i="92"/>
  <c r="X136" i="92"/>
  <c r="R134" i="92"/>
  <c r="X133" i="92"/>
  <c r="W133" i="92"/>
  <c r="X127" i="92"/>
  <c r="X125" i="92"/>
  <c r="W125" i="92"/>
  <c r="X142" i="92"/>
  <c r="W142" i="92"/>
  <c r="T142" i="92"/>
  <c r="X138" i="92"/>
  <c r="W138" i="92"/>
  <c r="W136" i="92"/>
  <c r="R136" i="92"/>
  <c r="T136" i="92"/>
  <c r="W132" i="92"/>
  <c r="X129" i="92"/>
  <c r="T129" i="92"/>
  <c r="W127" i="92"/>
  <c r="Y68" i="92"/>
  <c r="Z68" i="92" s="1"/>
  <c r="AA67" i="92" s="1"/>
  <c r="Y59" i="92"/>
  <c r="Z59" i="92" s="1"/>
  <c r="AA59" i="92" s="1"/>
  <c r="Y56" i="92"/>
  <c r="Z56" i="92" s="1"/>
  <c r="AA55" i="92" s="1"/>
  <c r="Y54" i="92"/>
  <c r="Z54" i="92" s="1"/>
  <c r="AA53" i="92" s="1"/>
  <c r="Y70" i="92"/>
  <c r="Z70" i="92" s="1"/>
  <c r="Y69" i="92"/>
  <c r="Z69" i="92" s="1"/>
  <c r="Y64" i="92"/>
  <c r="Z64" i="92" s="1"/>
  <c r="Y62" i="92"/>
  <c r="Z62" i="92" s="1"/>
  <c r="AA61" i="92" s="1"/>
  <c r="Y57" i="92"/>
  <c r="Z57" i="92" s="1"/>
  <c r="Y48" i="92"/>
  <c r="Z48" i="92" s="1"/>
  <c r="Y43" i="92"/>
  <c r="Z43" i="92" s="1"/>
  <c r="Y66" i="92"/>
  <c r="Z66" i="92" s="1"/>
  <c r="W134" i="92"/>
  <c r="T127" i="92"/>
  <c r="V577" i="97"/>
  <c r="S139" i="92"/>
  <c r="S134" i="92"/>
  <c r="S127" i="92"/>
  <c r="W141" i="92"/>
  <c r="W135" i="92"/>
  <c r="X144" i="92"/>
  <c r="X139" i="92"/>
  <c r="X134" i="92"/>
  <c r="T141" i="92"/>
  <c r="T134" i="92"/>
  <c r="Y134" i="92" s="1"/>
  <c r="W130" i="92"/>
  <c r="Y130" i="92" s="1"/>
  <c r="Z130" i="92" s="1"/>
  <c r="W144" i="92"/>
  <c r="W139" i="92"/>
  <c r="T132" i="92"/>
  <c r="W146" i="92"/>
  <c r="X141" i="92"/>
  <c r="T135" i="92"/>
  <c r="T130" i="92"/>
  <c r="S132" i="92"/>
  <c r="X146" i="92"/>
  <c r="T128" i="92"/>
  <c r="Y44" i="92"/>
  <c r="Z44" i="92" s="1"/>
  <c r="R130" i="92"/>
  <c r="T144" i="92"/>
  <c r="T139" i="92"/>
  <c r="S138" i="92"/>
  <c r="W128" i="92"/>
  <c r="S144" i="92"/>
  <c r="X132" i="92"/>
  <c r="T146" i="92"/>
  <c r="X126" i="92"/>
  <c r="X140" i="92"/>
  <c r="X128" i="92"/>
  <c r="S141" i="92"/>
  <c r="Y46" i="92"/>
  <c r="Z46" i="92" s="1"/>
  <c r="AA45" i="92" s="1"/>
  <c r="R132" i="92"/>
  <c r="R129" i="92"/>
  <c r="O149" i="92"/>
  <c r="O20" i="23" s="1"/>
  <c r="W126" i="92"/>
  <c r="W140" i="92"/>
  <c r="Y140" i="92" s="1"/>
  <c r="Z140" i="92" s="1"/>
  <c r="T125" i="92"/>
  <c r="R142" i="92"/>
  <c r="S128" i="92"/>
  <c r="R146" i="92"/>
  <c r="Y63" i="92"/>
  <c r="Z63" i="92" s="1"/>
  <c r="R127" i="92"/>
  <c r="S125" i="92"/>
  <c r="Y198" i="92"/>
  <c r="Z198" i="92" s="1"/>
  <c r="T143" i="92"/>
  <c r="S145" i="92"/>
  <c r="R126" i="92"/>
  <c r="T126" i="92"/>
  <c r="T140" i="92"/>
  <c r="AA49" i="92"/>
  <c r="AA71" i="92"/>
  <c r="AA51" i="92"/>
  <c r="Y47" i="92"/>
  <c r="Z47" i="92" s="1"/>
  <c r="Y202" i="92"/>
  <c r="Z202" i="92" s="1"/>
  <c r="Y203" i="92"/>
  <c r="Z203" i="92" s="1"/>
  <c r="X204" i="92"/>
  <c r="W204" i="92"/>
  <c r="T204" i="92"/>
  <c r="Y200" i="92"/>
  <c r="Z200" i="92" s="1"/>
  <c r="Y201" i="92"/>
  <c r="Z201" i="92" s="1"/>
  <c r="T199" i="92"/>
  <c r="T209" i="92" s="1"/>
  <c r="W199" i="92"/>
  <c r="W209" i="92" s="1"/>
  <c r="X199" i="92"/>
  <c r="X209" i="92" s="1"/>
  <c r="Y137" i="92"/>
  <c r="Z137" i="92" s="1"/>
  <c r="Y124" i="92"/>
  <c r="Z124" i="92" s="1"/>
  <c r="Y128" i="92"/>
  <c r="Z128" i="92" s="1"/>
  <c r="Y123" i="92"/>
  <c r="Z123" i="92" s="1"/>
  <c r="Z134" i="92" l="1"/>
  <c r="Y141" i="92"/>
  <c r="Z141" i="92" s="1"/>
  <c r="Y143" i="92"/>
  <c r="Z143" i="92" s="1"/>
  <c r="Y142" i="92"/>
  <c r="Z142" i="92" s="1"/>
  <c r="Y125" i="92"/>
  <c r="AA57" i="92"/>
  <c r="AA69" i="92"/>
  <c r="AA65" i="92"/>
  <c r="AA47" i="92"/>
  <c r="AA43" i="92"/>
  <c r="Y138" i="92"/>
  <c r="Z138" i="92" s="1"/>
  <c r="AA137" i="92" s="1"/>
  <c r="Y129" i="92"/>
  <c r="Z129" i="92" s="1"/>
  <c r="AA129" i="92" s="1"/>
  <c r="Y139" i="92"/>
  <c r="Z139" i="92" s="1"/>
  <c r="AA139" i="92" s="1"/>
  <c r="Y132" i="92"/>
  <c r="Z132" i="92" s="1"/>
  <c r="AA63" i="92"/>
  <c r="W577" i="97"/>
  <c r="U209" i="92"/>
  <c r="Y197" i="92"/>
  <c r="Z125" i="92"/>
  <c r="AA201" i="92"/>
  <c r="Y136" i="92"/>
  <c r="Z136" i="92" s="1"/>
  <c r="Y199" i="92"/>
  <c r="Z199" i="92" s="1"/>
  <c r="AA199" i="92" s="1"/>
  <c r="Y204" i="92"/>
  <c r="Z204" i="92" s="1"/>
  <c r="AA203" i="92" s="1"/>
  <c r="Y146" i="92"/>
  <c r="Z146" i="92" s="1"/>
  <c r="AA145" i="92" s="1"/>
  <c r="Y133" i="92"/>
  <c r="Z133" i="92" s="1"/>
  <c r="AA133" i="92" s="1"/>
  <c r="Y131" i="92"/>
  <c r="Z131" i="92" s="1"/>
  <c r="Y127" i="92"/>
  <c r="Z127" i="92" s="1"/>
  <c r="AA127" i="92" s="1"/>
  <c r="Y126" i="92"/>
  <c r="Z126" i="92" s="1"/>
  <c r="AA123" i="92"/>
  <c r="Y144" i="92"/>
  <c r="Z144" i="92" s="1"/>
  <c r="Y135" i="92"/>
  <c r="Z135" i="92" s="1"/>
  <c r="AA143" i="92" l="1"/>
  <c r="AA125" i="92"/>
  <c r="AA141" i="92"/>
  <c r="AA135" i="92"/>
  <c r="Z197" i="92"/>
  <c r="AA131" i="92"/>
  <c r="K44" i="119"/>
  <c r="J45" i="52"/>
  <c r="J39" i="52"/>
  <c r="AA197" i="92" l="1"/>
  <c r="K38" i="119"/>
  <c r="F26" i="23"/>
  <c r="F28" i="23"/>
  <c r="G28" i="23" s="1"/>
  <c r="F29" i="23"/>
  <c r="G29" i="23" s="1"/>
  <c r="U747" i="97" l="1"/>
  <c r="O718" i="97" l="1"/>
  <c r="U713" i="97"/>
  <c r="U814" i="97"/>
  <c r="U813" i="97" s="1"/>
  <c r="K813" i="97" s="1"/>
  <c r="AC813" i="97" s="1"/>
  <c r="U798" i="97"/>
  <c r="E813" i="97" l="1"/>
  <c r="F813" i="97" s="1"/>
  <c r="G813" i="97" s="1"/>
  <c r="E4" i="23"/>
  <c r="D4" i="23"/>
  <c r="M43" i="119" l="1"/>
  <c r="L44" i="52"/>
  <c r="U773" i="97"/>
  <c r="E36" i="23"/>
  <c r="C56" i="23" s="1"/>
  <c r="O681" i="97" l="1"/>
  <c r="O680" i="97"/>
  <c r="O794" i="97" l="1"/>
  <c r="D56" i="23"/>
  <c r="O684" i="97"/>
  <c r="U676" i="97"/>
  <c r="O762" i="97"/>
  <c r="C29" i="117"/>
  <c r="Z7" i="97"/>
  <c r="AA7" i="97" s="1"/>
  <c r="I3" i="97" s="1"/>
  <c r="AA5" i="97"/>
  <c r="W5" i="97" s="1"/>
  <c r="E56" i="23" l="1"/>
  <c r="C30" i="117"/>
  <c r="E50" i="23"/>
  <c r="AA6" i="97"/>
  <c r="W4" i="97" s="1"/>
  <c r="U837" i="97" l="1"/>
  <c r="U845" i="97"/>
  <c r="U812" i="97"/>
  <c r="U815" i="97" l="1"/>
  <c r="K815" i="97" s="1"/>
  <c r="M44" i="52"/>
  <c r="H103" i="106"/>
  <c r="H90" i="106"/>
  <c r="H18" i="106"/>
  <c r="F42" i="23"/>
  <c r="Y2" i="97"/>
  <c r="AA2" i="97" l="1"/>
  <c r="AA1" i="97" s="1"/>
  <c r="X1" i="97" s="1"/>
  <c r="Y1" i="97"/>
  <c r="AC815" i="97"/>
  <c r="I25" i="90"/>
  <c r="E815" i="97"/>
  <c r="S427" i="97"/>
  <c r="S428" i="97"/>
  <c r="S429" i="97"/>
  <c r="S430" i="97"/>
  <c r="S431" i="97"/>
  <c r="U431" i="97" s="1"/>
  <c r="S432" i="97"/>
  <c r="S433" i="97"/>
  <c r="S434" i="97"/>
  <c r="S435" i="97"/>
  <c r="S436" i="97"/>
  <c r="S437" i="97"/>
  <c r="S438" i="97"/>
  <c r="S439" i="97"/>
  <c r="S440" i="97"/>
  <c r="S441" i="97"/>
  <c r="S442" i="97"/>
  <c r="S443" i="97"/>
  <c r="S444" i="97"/>
  <c r="S445" i="97"/>
  <c r="S423" i="97"/>
  <c r="S424" i="97"/>
  <c r="S425" i="97"/>
  <c r="U425" i="97" s="1"/>
  <c r="S426" i="97"/>
  <c r="S422" i="97"/>
  <c r="U315" i="97"/>
  <c r="U305" i="97"/>
  <c r="U287" i="97"/>
  <c r="O273" i="97"/>
  <c r="O271" i="97"/>
  <c r="U271" i="97" s="1"/>
  <c r="O270" i="97"/>
  <c r="U270" i="97" s="1"/>
  <c r="J155" i="92"/>
  <c r="J156" i="92"/>
  <c r="U269" i="97"/>
  <c r="U268" i="97"/>
  <c r="O243" i="97"/>
  <c r="O244" i="97"/>
  <c r="O245" i="97"/>
  <c r="O242" i="97"/>
  <c r="O241" i="97"/>
  <c r="U445" i="97" l="1"/>
  <c r="L45" i="52"/>
  <c r="M45" i="52" s="1"/>
  <c r="M44" i="119"/>
  <c r="N44" i="119" s="1"/>
  <c r="F815" i="97"/>
  <c r="U441" i="97"/>
  <c r="U444" i="97"/>
  <c r="U405" i="97"/>
  <c r="U443" i="97"/>
  <c r="U442" i="97"/>
  <c r="O157" i="97"/>
  <c r="S139" i="97"/>
  <c r="S140" i="97"/>
  <c r="S141" i="97"/>
  <c r="S138" i="97"/>
  <c r="O140" i="97"/>
  <c r="O141" i="97"/>
  <c r="O139" i="97"/>
  <c r="O138" i="97"/>
  <c r="O134" i="97"/>
  <c r="O135" i="97"/>
  <c r="O136" i="97"/>
  <c r="O137" i="97"/>
  <c r="S132" i="97"/>
  <c r="S134" i="97"/>
  <c r="S135" i="97"/>
  <c r="S136" i="97"/>
  <c r="S137" i="97"/>
  <c r="S126" i="97"/>
  <c r="S127" i="97"/>
  <c r="S128" i="97"/>
  <c r="S129" i="97"/>
  <c r="S130" i="97"/>
  <c r="S131" i="97"/>
  <c r="S133" i="97"/>
  <c r="O125" i="97"/>
  <c r="O126" i="97"/>
  <c r="O127" i="97"/>
  <c r="O128" i="97"/>
  <c r="O129" i="97"/>
  <c r="O130" i="97"/>
  <c r="O131" i="97"/>
  <c r="O132" i="97"/>
  <c r="O133" i="97"/>
  <c r="O121" i="97"/>
  <c r="O122" i="97"/>
  <c r="O123" i="97"/>
  <c r="O124" i="97"/>
  <c r="S117" i="97"/>
  <c r="S118" i="97"/>
  <c r="S119" i="97"/>
  <c r="S120" i="97"/>
  <c r="S121" i="97"/>
  <c r="S122" i="97"/>
  <c r="S123" i="97"/>
  <c r="S124" i="97"/>
  <c r="S125" i="97"/>
  <c r="O120" i="97"/>
  <c r="O117" i="97"/>
  <c r="O118" i="97"/>
  <c r="O119" i="97"/>
  <c r="O103" i="97"/>
  <c r="O104" i="97"/>
  <c r="O105" i="97"/>
  <c r="O106" i="97"/>
  <c r="O107" i="97"/>
  <c r="S102" i="97"/>
  <c r="S97" i="97"/>
  <c r="S98" i="97"/>
  <c r="O97" i="97"/>
  <c r="O98" i="97"/>
  <c r="O71" i="97"/>
  <c r="O72" i="97"/>
  <c r="O73" i="97"/>
  <c r="O74" i="97"/>
  <c r="O75" i="97"/>
  <c r="O76" i="97"/>
  <c r="O77" i="97"/>
  <c r="O78" i="97"/>
  <c r="O79" i="97"/>
  <c r="O80" i="97"/>
  <c r="O81" i="97"/>
  <c r="O82" i="97"/>
  <c r="O83" i="97"/>
  <c r="O84" i="97"/>
  <c r="O85" i="97"/>
  <c r="O86" i="97"/>
  <c r="O87" i="97"/>
  <c r="O88" i="97"/>
  <c r="O89" i="97"/>
  <c r="O90" i="97"/>
  <c r="O91" i="97"/>
  <c r="O92" i="97"/>
  <c r="O93" i="97"/>
  <c r="O94" i="97"/>
  <c r="O95" i="97"/>
  <c r="O96" i="97"/>
  <c r="S71" i="97"/>
  <c r="S72" i="97"/>
  <c r="S73" i="97"/>
  <c r="S74" i="97"/>
  <c r="S75" i="97"/>
  <c r="S76" i="97"/>
  <c r="S77" i="97"/>
  <c r="S78" i="97"/>
  <c r="S79" i="97"/>
  <c r="S80" i="97"/>
  <c r="S81" i="97"/>
  <c r="S82" i="97"/>
  <c r="S83" i="97"/>
  <c r="S84" i="97"/>
  <c r="S85" i="97"/>
  <c r="S86" i="97"/>
  <c r="S87" i="97"/>
  <c r="S88" i="97"/>
  <c r="S89" i="97"/>
  <c r="S90" i="97"/>
  <c r="S91" i="97"/>
  <c r="S92" i="97"/>
  <c r="S93" i="97"/>
  <c r="S94" i="97"/>
  <c r="S95" i="97"/>
  <c r="S96" i="97"/>
  <c r="S70" i="97"/>
  <c r="O70" i="97"/>
  <c r="U141" i="97" l="1"/>
  <c r="U140" i="97"/>
  <c r="U132" i="97"/>
  <c r="U97" i="97"/>
  <c r="U138" i="97"/>
  <c r="U137" i="97"/>
  <c r="U139" i="97"/>
  <c r="U136" i="97"/>
  <c r="U135" i="97"/>
  <c r="U134" i="97"/>
  <c r="U121" i="97"/>
  <c r="U70" i="97"/>
  <c r="U72" i="97"/>
  <c r="U81" i="97"/>
  <c r="U86" i="97"/>
  <c r="U80" i="97"/>
  <c r="U85" i="97"/>
  <c r="U92" i="97"/>
  <c r="U117" i="97"/>
  <c r="U93" i="97"/>
  <c r="U98" i="97"/>
  <c r="U123" i="97"/>
  <c r="U120" i="97"/>
  <c r="U119" i="97"/>
  <c r="U87" i="97"/>
  <c r="U75" i="97"/>
  <c r="U73" i="97"/>
  <c r="U90" i="97"/>
  <c r="U78" i="97"/>
  <c r="U94" i="97"/>
  <c r="U82" i="97"/>
  <c r="U96" i="97"/>
  <c r="U71" i="97"/>
  <c r="U88" i="97"/>
  <c r="U76" i="97"/>
  <c r="U84" i="97"/>
  <c r="U83" i="97"/>
  <c r="U95" i="97"/>
  <c r="U91" i="97"/>
  <c r="U79" i="97"/>
  <c r="U74" i="97"/>
  <c r="U89" i="97"/>
  <c r="U77" i="97"/>
  <c r="AB112" i="92"/>
  <c r="E181" i="92"/>
  <c r="G182" i="92"/>
  <c r="G180" i="92"/>
  <c r="E179" i="92"/>
  <c r="G178" i="92"/>
  <c r="E177" i="92"/>
  <c r="G176" i="92"/>
  <c r="E175" i="92"/>
  <c r="G174" i="92"/>
  <c r="E173" i="92"/>
  <c r="G172" i="92"/>
  <c r="E171" i="92"/>
  <c r="G170" i="92"/>
  <c r="E169" i="92"/>
  <c r="G168" i="92"/>
  <c r="E167" i="92"/>
  <c r="I147" i="92"/>
  <c r="AB155" i="92"/>
  <c r="K161" i="92"/>
  <c r="E155" i="92"/>
  <c r="L158" i="92"/>
  <c r="J158" i="92"/>
  <c r="I158" i="92"/>
  <c r="AC157" i="92"/>
  <c r="AB157" i="92"/>
  <c r="L157" i="92"/>
  <c r="J157" i="92"/>
  <c r="E157" i="92"/>
  <c r="Q161" i="92"/>
  <c r="L156" i="92"/>
  <c r="I156" i="92"/>
  <c r="G156" i="92"/>
  <c r="AC155" i="92"/>
  <c r="I155" i="92"/>
  <c r="J147" i="92"/>
  <c r="O449" i="97" l="1"/>
  <c r="U449" i="97" s="1"/>
  <c r="R158" i="92"/>
  <c r="T158" i="92"/>
  <c r="X158" i="92"/>
  <c r="W158" i="92"/>
  <c r="S158" i="92"/>
  <c r="O448" i="97"/>
  <c r="U448" i="97" s="1"/>
  <c r="R157" i="92"/>
  <c r="O447" i="97"/>
  <c r="U447" i="97" s="1"/>
  <c r="R156" i="92"/>
  <c r="O446" i="97"/>
  <c r="U446" i="97" s="1"/>
  <c r="R155" i="92"/>
  <c r="V141" i="97"/>
  <c r="I161" i="92"/>
  <c r="AC161" i="92"/>
  <c r="J161" i="92"/>
  <c r="AD155" i="92"/>
  <c r="AD157" i="92"/>
  <c r="AD161" i="92" s="1"/>
  <c r="P161" i="92"/>
  <c r="AB161" i="92"/>
  <c r="J89" i="92"/>
  <c r="L88" i="92"/>
  <c r="J88" i="92"/>
  <c r="I88" i="92"/>
  <c r="G88" i="92"/>
  <c r="L87" i="92"/>
  <c r="J87" i="92"/>
  <c r="I87" i="92"/>
  <c r="E87" i="92"/>
  <c r="L86" i="92"/>
  <c r="J86" i="92"/>
  <c r="I86" i="92"/>
  <c r="L85" i="92"/>
  <c r="J85" i="92"/>
  <c r="I85" i="92"/>
  <c r="L84" i="92"/>
  <c r="J84" i="92"/>
  <c r="I84" i="92"/>
  <c r="AC83" i="92"/>
  <c r="L83" i="92"/>
  <c r="J83" i="92"/>
  <c r="I83" i="92"/>
  <c r="L82" i="92"/>
  <c r="J82" i="92"/>
  <c r="I82" i="92"/>
  <c r="AC81" i="92"/>
  <c r="L81" i="92"/>
  <c r="J81" i="92"/>
  <c r="I81" i="92"/>
  <c r="L80" i="92"/>
  <c r="I80" i="92"/>
  <c r="AC79" i="92"/>
  <c r="L79" i="92"/>
  <c r="I79" i="92"/>
  <c r="L78" i="92"/>
  <c r="J78" i="92"/>
  <c r="I78" i="92"/>
  <c r="AC77" i="92"/>
  <c r="AB77" i="92"/>
  <c r="L77" i="92"/>
  <c r="J77" i="92"/>
  <c r="I77" i="92"/>
  <c r="L76" i="92"/>
  <c r="I76" i="92"/>
  <c r="AC75" i="92"/>
  <c r="L75" i="92"/>
  <c r="I75" i="92"/>
  <c r="L74" i="92"/>
  <c r="O74" i="92" s="1"/>
  <c r="J74" i="92"/>
  <c r="I74" i="92"/>
  <c r="AC73" i="92"/>
  <c r="AD73" i="92"/>
  <c r="L73" i="92"/>
  <c r="J73" i="92"/>
  <c r="I73" i="92"/>
  <c r="I39" i="92"/>
  <c r="K31" i="92"/>
  <c r="K21" i="92"/>
  <c r="E4" i="119"/>
  <c r="D4" i="119"/>
  <c r="W141" i="97" l="1"/>
  <c r="T157" i="92"/>
  <c r="X157" i="92"/>
  <c r="S157" i="92"/>
  <c r="W157" i="92"/>
  <c r="V449" i="97"/>
  <c r="S156" i="92"/>
  <c r="X156" i="92"/>
  <c r="W156" i="92"/>
  <c r="T156" i="92"/>
  <c r="T155" i="92"/>
  <c r="S155" i="92"/>
  <c r="X155" i="92"/>
  <c r="W155" i="92"/>
  <c r="O531" i="97"/>
  <c r="U531" i="97" s="1"/>
  <c r="O84" i="92"/>
  <c r="O521" i="97"/>
  <c r="U521" i="97" s="1"/>
  <c r="O534" i="97"/>
  <c r="U534" i="97" s="1"/>
  <c r="O522" i="97"/>
  <c r="U522" i="97" s="1"/>
  <c r="O527" i="97"/>
  <c r="U527" i="97" s="1"/>
  <c r="O80" i="92"/>
  <c r="O532" i="97"/>
  <c r="U532" i="97" s="1"/>
  <c r="O526" i="97"/>
  <c r="U526" i="97" s="1"/>
  <c r="O533" i="97"/>
  <c r="U533" i="97" s="1"/>
  <c r="O529" i="97"/>
  <c r="U529" i="97" s="1"/>
  <c r="O82" i="92"/>
  <c r="O525" i="97"/>
  <c r="U525" i="97" s="1"/>
  <c r="O78" i="92"/>
  <c r="O530" i="97"/>
  <c r="U530" i="97" s="1"/>
  <c r="O73" i="92"/>
  <c r="S73" i="92" s="1"/>
  <c r="O520" i="97"/>
  <c r="U520" i="97" s="1"/>
  <c r="O524" i="97"/>
  <c r="U524" i="97" s="1"/>
  <c r="O523" i="97"/>
  <c r="U523" i="97" s="1"/>
  <c r="O76" i="92"/>
  <c r="T87" i="92"/>
  <c r="O528" i="97"/>
  <c r="U528" i="97" s="1"/>
  <c r="O535" i="97"/>
  <c r="U535" i="97" s="1"/>
  <c r="O88" i="92"/>
  <c r="X88" i="92" s="1"/>
  <c r="M88" i="92"/>
  <c r="M87" i="92"/>
  <c r="S87" i="92" s="1"/>
  <c r="R85" i="92"/>
  <c r="X83" i="92"/>
  <c r="M82" i="92"/>
  <c r="M81" i="92"/>
  <c r="S81" i="92" s="1"/>
  <c r="M80" i="92"/>
  <c r="M79" i="92"/>
  <c r="S79" i="92" s="1"/>
  <c r="M78" i="92"/>
  <c r="M77" i="92"/>
  <c r="R77" i="92" s="1"/>
  <c r="M76" i="92"/>
  <c r="M75" i="92"/>
  <c r="S75" i="92" s="1"/>
  <c r="M74" i="92"/>
  <c r="M73" i="92"/>
  <c r="AD87" i="92"/>
  <c r="AD77" i="92"/>
  <c r="AD75" i="92"/>
  <c r="AD85" i="92"/>
  <c r="AD81" i="92"/>
  <c r="AD83" i="92"/>
  <c r="AD79" i="92"/>
  <c r="M161" i="92"/>
  <c r="M31" i="23" s="1"/>
  <c r="U84" i="92" l="1"/>
  <c r="V84" i="92" s="1"/>
  <c r="S82" i="92"/>
  <c r="X80" i="92"/>
  <c r="W84" i="92"/>
  <c r="T79" i="92"/>
  <c r="Y79" i="92" s="1"/>
  <c r="Z79" i="92" s="1"/>
  <c r="R73" i="92"/>
  <c r="R82" i="92"/>
  <c r="S78" i="92"/>
  <c r="W76" i="92"/>
  <c r="W74" i="92"/>
  <c r="Y155" i="92"/>
  <c r="Z155" i="92" s="1"/>
  <c r="W449" i="97"/>
  <c r="R88" i="92"/>
  <c r="W88" i="92"/>
  <c r="W86" i="92"/>
  <c r="X85" i="92"/>
  <c r="W85" i="92"/>
  <c r="T85" i="92"/>
  <c r="S84" i="92"/>
  <c r="T78" i="92"/>
  <c r="T73" i="92"/>
  <c r="S86" i="92"/>
  <c r="T88" i="92"/>
  <c r="W82" i="92"/>
  <c r="R84" i="92"/>
  <c r="X78" i="92"/>
  <c r="X74" i="92"/>
  <c r="W77" i="92"/>
  <c r="T77" i="92"/>
  <c r="X82" i="92"/>
  <c r="T80" i="92"/>
  <c r="W79" i="92"/>
  <c r="S88" i="92"/>
  <c r="T82" i="92"/>
  <c r="W78" i="92"/>
  <c r="S85" i="92"/>
  <c r="S74" i="92"/>
  <c r="R79" i="92"/>
  <c r="X77" i="92"/>
  <c r="X79" i="92"/>
  <c r="R81" i="92"/>
  <c r="X76" i="92"/>
  <c r="W83" i="92"/>
  <c r="T74" i="92"/>
  <c r="W80" i="92"/>
  <c r="S77" i="92"/>
  <c r="R76" i="92"/>
  <c r="T86" i="92"/>
  <c r="T76" i="92"/>
  <c r="T83" i="92"/>
  <c r="X75" i="92"/>
  <c r="R87" i="92"/>
  <c r="W75" i="92"/>
  <c r="X84" i="92"/>
  <c r="X86" i="92"/>
  <c r="X81" i="92"/>
  <c r="S76" i="92"/>
  <c r="S83" i="92"/>
  <c r="T75" i="92"/>
  <c r="R86" i="92"/>
  <c r="S80" i="92"/>
  <c r="T84" i="92"/>
  <c r="X87" i="92"/>
  <c r="X73" i="92"/>
  <c r="W81" i="92"/>
  <c r="R83" i="92"/>
  <c r="R75" i="92"/>
  <c r="W87" i="92"/>
  <c r="W73" i="92"/>
  <c r="T81" i="92"/>
  <c r="R78" i="92"/>
  <c r="R80" i="92"/>
  <c r="R74" i="92"/>
  <c r="S161" i="92"/>
  <c r="R161" i="92"/>
  <c r="X161" i="92"/>
  <c r="Y157" i="92"/>
  <c r="Z157" i="92" s="1"/>
  <c r="Y158" i="92"/>
  <c r="Z158" i="92" s="1"/>
  <c r="W161" i="92"/>
  <c r="T161" i="92"/>
  <c r="V161" i="92"/>
  <c r="U161" i="92"/>
  <c r="N31" i="23" l="1"/>
  <c r="O31" i="23" s="1"/>
  <c r="Y84" i="92"/>
  <c r="Z84" i="92" s="1"/>
  <c r="Y88" i="92"/>
  <c r="Y86" i="92"/>
  <c r="Z86" i="92" s="1"/>
  <c r="Y76" i="92"/>
  <c r="Z76" i="92" s="1"/>
  <c r="Z88" i="92"/>
  <c r="Y81" i="92"/>
  <c r="Z81" i="92" s="1"/>
  <c r="Y78" i="92"/>
  <c r="Z78" i="92" s="1"/>
  <c r="Y83" i="92"/>
  <c r="Z83" i="92" s="1"/>
  <c r="AA83" i="92" s="1"/>
  <c r="Y87" i="92"/>
  <c r="Z87" i="92" s="1"/>
  <c r="Y75" i="92"/>
  <c r="Z75" i="92" s="1"/>
  <c r="Y73" i="92"/>
  <c r="Z73" i="92" s="1"/>
  <c r="Y85" i="92"/>
  <c r="Z85" i="92" s="1"/>
  <c r="Y80" i="92"/>
  <c r="Z80" i="92" s="1"/>
  <c r="AA79" i="92" s="1"/>
  <c r="Y77" i="92"/>
  <c r="Z77" i="92" s="1"/>
  <c r="Y74" i="92"/>
  <c r="Z74" i="92" s="1"/>
  <c r="Y82" i="92"/>
  <c r="Z82" i="92" s="1"/>
  <c r="AA157" i="92"/>
  <c r="Y156" i="92"/>
  <c r="E40" i="119"/>
  <c r="F40" i="119" s="1"/>
  <c r="G40" i="119" s="1"/>
  <c r="E39" i="119"/>
  <c r="F39" i="119" s="1"/>
  <c r="G39" i="119" s="1"/>
  <c r="E38" i="119"/>
  <c r="F41" i="119"/>
  <c r="C22" i="117"/>
  <c r="C16" i="117"/>
  <c r="E38" i="52"/>
  <c r="F38" i="52" s="1"/>
  <c r="G38" i="52" s="1"/>
  <c r="E39" i="52"/>
  <c r="F39" i="52" s="1"/>
  <c r="G39" i="52" s="1"/>
  <c r="E40" i="52"/>
  <c r="F40" i="52" s="1"/>
  <c r="G40" i="52" s="1"/>
  <c r="F41" i="52"/>
  <c r="F43" i="23"/>
  <c r="G43" i="23" s="1"/>
  <c r="AA75" i="92" l="1"/>
  <c r="AA87" i="92"/>
  <c r="AA81" i="92"/>
  <c r="AA85" i="92"/>
  <c r="AA77" i="92"/>
  <c r="AA73" i="92"/>
  <c r="Z156" i="92"/>
  <c r="Y161" i="92"/>
  <c r="F38" i="119"/>
  <c r="G38" i="119" s="1"/>
  <c r="Z161" i="92" l="1"/>
  <c r="AA155" i="92"/>
  <c r="AA161" i="92" s="1"/>
  <c r="E31" i="23" l="1"/>
  <c r="Y9" i="97"/>
  <c r="AA9" i="97" s="1"/>
  <c r="Y8" i="97"/>
  <c r="AA8" i="97" s="1"/>
  <c r="W8" i="97" l="1"/>
  <c r="AA11" i="97"/>
  <c r="F31" i="23"/>
  <c r="E30" i="23"/>
  <c r="E21" i="52" s="1"/>
  <c r="Y11" i="97"/>
  <c r="F45" i="23"/>
  <c r="F44" i="23"/>
  <c r="G44" i="23" s="1"/>
  <c r="F30" i="23" l="1"/>
  <c r="E20" i="119"/>
  <c r="G26" i="23"/>
  <c r="E33" i="52" l="1"/>
  <c r="E32" i="52" s="1"/>
  <c r="E31" i="52" s="1"/>
  <c r="I13" i="90" s="1"/>
  <c r="E28" i="52"/>
  <c r="E27" i="52"/>
  <c r="F27" i="52" s="1"/>
  <c r="E26" i="52" l="1"/>
  <c r="F28" i="52"/>
  <c r="F26" i="52" s="1"/>
  <c r="F33" i="52"/>
  <c r="F32" i="52" s="1"/>
  <c r="F31" i="52" s="1"/>
  <c r="G27" i="52"/>
  <c r="F25" i="52" l="1"/>
  <c r="G26" i="52"/>
  <c r="G28" i="52"/>
  <c r="U846" i="97" l="1"/>
  <c r="U844" i="97"/>
  <c r="U843" i="97"/>
  <c r="U842" i="97"/>
  <c r="U841" i="97"/>
  <c r="U840" i="97"/>
  <c r="U839" i="97"/>
  <c r="U838" i="97"/>
  <c r="U822" i="97"/>
  <c r="U833" i="97" l="1"/>
  <c r="U832" i="97" l="1"/>
  <c r="U831" i="97" s="1"/>
  <c r="U819" i="97"/>
  <c r="U818" i="97" s="1"/>
  <c r="U811" i="97"/>
  <c r="U809" i="97"/>
  <c r="U808" i="97"/>
  <c r="U807" i="97"/>
  <c r="O805" i="97"/>
  <c r="U805" i="97" s="1"/>
  <c r="O804" i="97"/>
  <c r="U804" i="97" s="1"/>
  <c r="O802" i="97"/>
  <c r="U802" i="97" s="1"/>
  <c r="O801" i="97"/>
  <c r="U801" i="97" s="1"/>
  <c r="O800" i="97"/>
  <c r="U800" i="97" s="1"/>
  <c r="O799" i="97"/>
  <c r="U799" i="97" s="1"/>
  <c r="U793" i="97"/>
  <c r="U791" i="97"/>
  <c r="U790" i="97"/>
  <c r="U789" i="97"/>
  <c r="U788" i="97"/>
  <c r="U786" i="97"/>
  <c r="U785" i="97"/>
  <c r="U783" i="97"/>
  <c r="U782" i="97"/>
  <c r="U781" i="97"/>
  <c r="U780" i="97"/>
  <c r="U779" i="97"/>
  <c r="U817" i="97" l="1"/>
  <c r="K818" i="97"/>
  <c r="AC818" i="97" s="1"/>
  <c r="U777" i="97"/>
  <c r="V777" i="97" s="1"/>
  <c r="U810" i="97"/>
  <c r="I24" i="90"/>
  <c r="G42" i="23"/>
  <c r="E37" i="119"/>
  <c r="E37" i="52"/>
  <c r="E41" i="23"/>
  <c r="U803" i="97"/>
  <c r="H803" i="97" s="1"/>
  <c r="E803" i="97" s="1"/>
  <c r="F803" i="97" s="1"/>
  <c r="U806" i="97"/>
  <c r="U797" i="97"/>
  <c r="H810" i="97" l="1"/>
  <c r="E810" i="97" s="1"/>
  <c r="E22" i="23" s="1"/>
  <c r="E36" i="52"/>
  <c r="E35" i="52" s="1"/>
  <c r="D14" i="90" s="1"/>
  <c r="F37" i="52"/>
  <c r="E36" i="119"/>
  <c r="F37" i="119"/>
  <c r="O774" i="97"/>
  <c r="U772" i="97"/>
  <c r="U771" i="97" s="1"/>
  <c r="U764" i="97"/>
  <c r="U763" i="97"/>
  <c r="U761" i="97"/>
  <c r="U759" i="97" s="1"/>
  <c r="U756" i="97"/>
  <c r="U750" i="97"/>
  <c r="U749" i="97"/>
  <c r="U748" i="97"/>
  <c r="U746" i="97"/>
  <c r="U745" i="97"/>
  <c r="O744" i="97"/>
  <c r="U744" i="97" s="1"/>
  <c r="U743" i="97"/>
  <c r="U742" i="97"/>
  <c r="U741" i="97" l="1"/>
  <c r="AC741" i="97"/>
  <c r="M42" i="119"/>
  <c r="N42" i="119" s="1"/>
  <c r="O42" i="119" s="1"/>
  <c r="G37" i="119"/>
  <c r="F36" i="119"/>
  <c r="G37" i="52"/>
  <c r="F36" i="52"/>
  <c r="F35" i="52" l="1"/>
  <c r="G35" i="52" s="1"/>
  <c r="G36" i="52"/>
  <c r="U736" i="97"/>
  <c r="U735" i="97"/>
  <c r="O719" i="97"/>
  <c r="U722" i="97"/>
  <c r="U721" i="97"/>
  <c r="O716" i="97"/>
  <c r="U715" i="97"/>
  <c r="U714" i="97"/>
  <c r="U711" i="97"/>
  <c r="U710" i="97"/>
  <c r="O708" i="97"/>
  <c r="U707" i="97"/>
  <c r="U706" i="97"/>
  <c r="U705" i="97"/>
  <c r="U704" i="97"/>
  <c r="U699" i="97"/>
  <c r="U698" i="97"/>
  <c r="U697" i="97"/>
  <c r="U696" i="97"/>
  <c r="U695" i="97"/>
  <c r="U694" i="97"/>
  <c r="U693" i="97"/>
  <c r="U692" i="97"/>
  <c r="U691" i="97"/>
  <c r="U690" i="97"/>
  <c r="U689" i="97"/>
  <c r="U688" i="97"/>
  <c r="U687" i="97"/>
  <c r="U686" i="97"/>
  <c r="U680" i="97"/>
  <c r="U679" i="97"/>
  <c r="U675" i="97"/>
  <c r="U674" i="97"/>
  <c r="U673" i="97"/>
  <c r="U672" i="97"/>
  <c r="U671" i="97"/>
  <c r="U670" i="97"/>
  <c r="U669" i="97"/>
  <c r="U668" i="97"/>
  <c r="U667" i="97"/>
  <c r="U685" i="97" l="1"/>
  <c r="U720" i="97"/>
  <c r="U717" i="97"/>
  <c r="AD734" i="97" l="1"/>
  <c r="AD9" i="97" s="1"/>
  <c r="Q181" i="92"/>
  <c r="L182" i="92"/>
  <c r="P182" i="92" s="1"/>
  <c r="J182" i="92"/>
  <c r="I182" i="92"/>
  <c r="AC181" i="92"/>
  <c r="AB181" i="92"/>
  <c r="L181" i="92"/>
  <c r="P181" i="92" s="1"/>
  <c r="I181" i="92"/>
  <c r="U629" i="97"/>
  <c r="U630" i="97"/>
  <c r="U631" i="97"/>
  <c r="U632" i="97"/>
  <c r="U633" i="97"/>
  <c r="U634" i="97"/>
  <c r="U635" i="97"/>
  <c r="U636" i="97"/>
  <c r="U637" i="97"/>
  <c r="U638" i="97"/>
  <c r="U639" i="97"/>
  <c r="U628" i="97"/>
  <c r="Q103" i="92"/>
  <c r="Q116" i="92"/>
  <c r="Q177" i="92"/>
  <c r="Q187" i="92"/>
  <c r="Q185" i="92"/>
  <c r="Q183" i="92"/>
  <c r="Q179" i="92"/>
  <c r="L190" i="92"/>
  <c r="M190" i="92" s="1"/>
  <c r="J190" i="92"/>
  <c r="I190" i="92"/>
  <c r="M189" i="92"/>
  <c r="I189" i="92"/>
  <c r="G188" i="92"/>
  <c r="E187" i="92"/>
  <c r="G186" i="92"/>
  <c r="E185" i="92"/>
  <c r="G184" i="92"/>
  <c r="E183" i="92"/>
  <c r="AE191" i="92"/>
  <c r="AD191" i="92"/>
  <c r="AC191" i="92"/>
  <c r="AB191" i="92"/>
  <c r="K191" i="92"/>
  <c r="L188" i="92"/>
  <c r="J188" i="92"/>
  <c r="I188" i="92"/>
  <c r="L187" i="92"/>
  <c r="J187" i="92"/>
  <c r="I187" i="92"/>
  <c r="L186" i="92"/>
  <c r="J186" i="92"/>
  <c r="I186" i="92"/>
  <c r="L185" i="92"/>
  <c r="P185" i="92" s="1"/>
  <c r="J185" i="92"/>
  <c r="I185" i="92"/>
  <c r="L184" i="92"/>
  <c r="M184" i="92" s="1"/>
  <c r="J184" i="92"/>
  <c r="I184" i="92"/>
  <c r="L183" i="92"/>
  <c r="I183" i="92"/>
  <c r="L180" i="92"/>
  <c r="J180" i="92"/>
  <c r="I180" i="92"/>
  <c r="L179" i="92"/>
  <c r="P179" i="92" s="1"/>
  <c r="J179" i="92"/>
  <c r="I179" i="92"/>
  <c r="L178" i="92"/>
  <c r="M178" i="92" s="1"/>
  <c r="I178" i="92"/>
  <c r="L177" i="92"/>
  <c r="J177" i="92"/>
  <c r="I177" i="92"/>
  <c r="L176" i="92"/>
  <c r="I176" i="92"/>
  <c r="Q175" i="92"/>
  <c r="L175" i="92"/>
  <c r="M175" i="92" s="1"/>
  <c r="J175" i="92"/>
  <c r="I175" i="92"/>
  <c r="L174" i="92"/>
  <c r="J174" i="92"/>
  <c r="I174" i="92"/>
  <c r="Q173" i="92"/>
  <c r="L173" i="92"/>
  <c r="P173" i="92" s="1"/>
  <c r="J173" i="92"/>
  <c r="I173" i="92"/>
  <c r="L172" i="92"/>
  <c r="J172" i="92"/>
  <c r="I172" i="92"/>
  <c r="Q171" i="92"/>
  <c r="L171" i="92"/>
  <c r="J171" i="92"/>
  <c r="I171" i="92"/>
  <c r="L170" i="92"/>
  <c r="J170" i="92"/>
  <c r="I170" i="92"/>
  <c r="Q169" i="92"/>
  <c r="L169" i="92"/>
  <c r="M169" i="92" s="1"/>
  <c r="J169" i="92"/>
  <c r="I169" i="92"/>
  <c r="L168" i="92"/>
  <c r="M168" i="92" s="1"/>
  <c r="J168" i="92"/>
  <c r="I168" i="92"/>
  <c r="Q167" i="92"/>
  <c r="L167" i="92"/>
  <c r="P167" i="92" s="1"/>
  <c r="R167" i="92" s="1"/>
  <c r="J167" i="92"/>
  <c r="I167" i="92"/>
  <c r="K19" i="92"/>
  <c r="U316" i="97"/>
  <c r="U314" i="97"/>
  <c r="U313" i="97"/>
  <c r="U312" i="97"/>
  <c r="U311" i="97"/>
  <c r="U310" i="97"/>
  <c r="U309" i="97"/>
  <c r="U308" i="97"/>
  <c r="U307" i="97"/>
  <c r="U306" i="97"/>
  <c r="U303" i="97"/>
  <c r="U302" i="97"/>
  <c r="U300" i="97"/>
  <c r="U299" i="97"/>
  <c r="U297" i="97"/>
  <c r="U295" i="97"/>
  <c r="U294" i="97"/>
  <c r="U293" i="97"/>
  <c r="U292" i="97"/>
  <c r="U291" i="97"/>
  <c r="U290" i="97"/>
  <c r="U289" i="97"/>
  <c r="U288" i="97"/>
  <c r="U286" i="97"/>
  <c r="U285" i="97"/>
  <c r="U284" i="97"/>
  <c r="U283" i="97"/>
  <c r="U282" i="97"/>
  <c r="U281" i="97"/>
  <c r="U280" i="97"/>
  <c r="U279" i="97"/>
  <c r="U278" i="97"/>
  <c r="U277" i="97"/>
  <c r="U276" i="97"/>
  <c r="U275" i="97"/>
  <c r="U150" i="97"/>
  <c r="U257" i="97"/>
  <c r="U254" i="97"/>
  <c r="U252" i="97"/>
  <c r="U250" i="97"/>
  <c r="U249" i="97"/>
  <c r="U246" i="97"/>
  <c r="U245" i="97"/>
  <c r="U244" i="97"/>
  <c r="U243" i="97"/>
  <c r="U242" i="97"/>
  <c r="U224" i="97"/>
  <c r="U222" i="97"/>
  <c r="U221" i="97"/>
  <c r="U220" i="97"/>
  <c r="U219" i="97"/>
  <c r="U217" i="97"/>
  <c r="U216" i="97"/>
  <c r="U215" i="97"/>
  <c r="U214" i="97"/>
  <c r="U213" i="97"/>
  <c r="U203" i="97"/>
  <c r="U202" i="97"/>
  <c r="U201" i="97"/>
  <c r="U200" i="97"/>
  <c r="U198" i="97"/>
  <c r="U197" i="97"/>
  <c r="U196" i="97"/>
  <c r="U195" i="97"/>
  <c r="U194" i="97"/>
  <c r="U192" i="97"/>
  <c r="U182" i="97"/>
  <c r="U179" i="97"/>
  <c r="U178" i="97"/>
  <c r="U177" i="97"/>
  <c r="U175" i="97"/>
  <c r="U174" i="97"/>
  <c r="U173" i="97"/>
  <c r="U172" i="97"/>
  <c r="U171" i="97"/>
  <c r="U170" i="97"/>
  <c r="U169" i="97"/>
  <c r="U166" i="97"/>
  <c r="U163" i="97"/>
  <c r="U161" i="97"/>
  <c r="U160" i="97"/>
  <c r="U157" i="97"/>
  <c r="U154" i="97"/>
  <c r="U152" i="97"/>
  <c r="U151" i="97"/>
  <c r="V309" i="97" l="1"/>
  <c r="V307" i="97"/>
  <c r="V315" i="97"/>
  <c r="U274" i="97"/>
  <c r="S189" i="92"/>
  <c r="R189" i="92"/>
  <c r="P168" i="92"/>
  <c r="S168" i="92" s="1"/>
  <c r="AD181" i="92"/>
  <c r="S190" i="92"/>
  <c r="U627" i="97"/>
  <c r="M182" i="92"/>
  <c r="S182" i="92" s="1"/>
  <c r="M181" i="92"/>
  <c r="S181" i="92" s="1"/>
  <c r="R190" i="92"/>
  <c r="P178" i="92"/>
  <c r="R178" i="92" s="1"/>
  <c r="P175" i="92"/>
  <c r="S175" i="92" s="1"/>
  <c r="I191" i="92"/>
  <c r="P184" i="92"/>
  <c r="S184" i="92" s="1"/>
  <c r="M167" i="92"/>
  <c r="S167" i="92" s="1"/>
  <c r="J191" i="92"/>
  <c r="L191" i="92"/>
  <c r="P169" i="92"/>
  <c r="S169" i="92" s="1"/>
  <c r="M185" i="92"/>
  <c r="S185" i="92" s="1"/>
  <c r="M173" i="92"/>
  <c r="P171" i="92"/>
  <c r="M171" i="92"/>
  <c r="M187" i="92"/>
  <c r="P187" i="92"/>
  <c r="S187" i="92" s="1"/>
  <c r="P170" i="92"/>
  <c r="M170" i="92"/>
  <c r="P177" i="92"/>
  <c r="M177" i="92"/>
  <c r="M179" i="92"/>
  <c r="R179" i="92" s="1"/>
  <c r="P176" i="92"/>
  <c r="M176" i="92"/>
  <c r="P172" i="92"/>
  <c r="M172" i="92"/>
  <c r="P180" i="92"/>
  <c r="M180" i="92"/>
  <c r="P183" i="92"/>
  <c r="M183" i="92"/>
  <c r="P186" i="92"/>
  <c r="M186" i="92"/>
  <c r="P188" i="92"/>
  <c r="M188" i="92"/>
  <c r="R175" i="92"/>
  <c r="P174" i="92"/>
  <c r="M174" i="92"/>
  <c r="U164" i="97"/>
  <c r="U167" i="97"/>
  <c r="U185" i="97"/>
  <c r="U188" i="97"/>
  <c r="U191" i="97"/>
  <c r="U205" i="97"/>
  <c r="U210" i="97"/>
  <c r="U212" i="97"/>
  <c r="U223" i="97"/>
  <c r="U235" i="97"/>
  <c r="U239" i="97"/>
  <c r="U260" i="97"/>
  <c r="U263" i="97"/>
  <c r="U273" i="97"/>
  <c r="V273" i="97" s="1"/>
  <c r="W273" i="97" s="1"/>
  <c r="U162" i="97"/>
  <c r="U168" i="97"/>
  <c r="U180" i="97"/>
  <c r="U183" i="97"/>
  <c r="U186" i="97"/>
  <c r="U189" i="97"/>
  <c r="U208" i="97"/>
  <c r="U211" i="97"/>
  <c r="U233" i="97"/>
  <c r="U240" i="97"/>
  <c r="U241" i="97"/>
  <c r="V245" i="97" s="1"/>
  <c r="U255" i="97"/>
  <c r="U258" i="97"/>
  <c r="U261" i="97"/>
  <c r="U153" i="97"/>
  <c r="U156" i="97"/>
  <c r="U158" i="97"/>
  <c r="U181" i="97"/>
  <c r="U256" i="97"/>
  <c r="U184" i="97"/>
  <c r="U190" i="97"/>
  <c r="U193" i="97"/>
  <c r="U204" i="97"/>
  <c r="U206" i="97"/>
  <c r="U209" i="97"/>
  <c r="U234" i="97"/>
  <c r="U238" i="97"/>
  <c r="U259" i="97"/>
  <c r="U265" i="97"/>
  <c r="U149" i="97"/>
  <c r="U155" i="97"/>
  <c r="U165" i="97"/>
  <c r="U176" i="97"/>
  <c r="U187" i="97"/>
  <c r="U199" i="97"/>
  <c r="U207" i="97"/>
  <c r="U218" i="97"/>
  <c r="U237" i="97"/>
  <c r="U248" i="97"/>
  <c r="V269" i="97" l="1"/>
  <c r="V240" i="97"/>
  <c r="O647" i="97"/>
  <c r="U647" i="97" s="1"/>
  <c r="I645" i="97" s="1"/>
  <c r="O655" i="97"/>
  <c r="U655" i="97" s="1"/>
  <c r="U148" i="97"/>
  <c r="S180" i="92"/>
  <c r="T175" i="92"/>
  <c r="T178" i="92"/>
  <c r="T189" i="92"/>
  <c r="T190" i="92"/>
  <c r="T179" i="92"/>
  <c r="R168" i="92"/>
  <c r="X189" i="92"/>
  <c r="R181" i="92"/>
  <c r="W189" i="92"/>
  <c r="T181" i="92"/>
  <c r="W181" i="92"/>
  <c r="S177" i="92"/>
  <c r="S171" i="92"/>
  <c r="S170" i="92"/>
  <c r="R182" i="92"/>
  <c r="S183" i="92"/>
  <c r="O656" i="97"/>
  <c r="U656" i="97" s="1"/>
  <c r="S174" i="92"/>
  <c r="S186" i="92"/>
  <c r="S172" i="92"/>
  <c r="R184" i="92"/>
  <c r="S188" i="92"/>
  <c r="S173" i="92"/>
  <c r="S176" i="92"/>
  <c r="P191" i="92"/>
  <c r="R171" i="92"/>
  <c r="W190" i="92"/>
  <c r="X190" i="92"/>
  <c r="S178" i="92"/>
  <c r="S179" i="92"/>
  <c r="X175" i="92"/>
  <c r="W175" i="92"/>
  <c r="W178" i="92"/>
  <c r="X178" i="92"/>
  <c r="W179" i="92"/>
  <c r="X179" i="92"/>
  <c r="R187" i="92"/>
  <c r="R173" i="92"/>
  <c r="R188" i="92"/>
  <c r="M191" i="92"/>
  <c r="R185" i="92"/>
  <c r="R169" i="92"/>
  <c r="R186" i="92"/>
  <c r="R176" i="92"/>
  <c r="R170" i="92"/>
  <c r="R183" i="92"/>
  <c r="R177" i="92"/>
  <c r="R180" i="92"/>
  <c r="R172" i="92"/>
  <c r="R174" i="92"/>
  <c r="O658" i="97" l="1"/>
  <c r="X181" i="92"/>
  <c r="Y168" i="92"/>
  <c r="Z168" i="92" s="1"/>
  <c r="R191" i="92"/>
  <c r="Y189" i="92"/>
  <c r="Z189" i="92" s="1"/>
  <c r="T177" i="92"/>
  <c r="T186" i="92"/>
  <c r="T187" i="92"/>
  <c r="T185" i="92"/>
  <c r="T171" i="92"/>
  <c r="T169" i="92"/>
  <c r="T183" i="92"/>
  <c r="T176" i="92"/>
  <c r="T174" i="92"/>
  <c r="T188" i="92"/>
  <c r="T170" i="92"/>
  <c r="T172" i="92"/>
  <c r="T173" i="92"/>
  <c r="O657" i="97"/>
  <c r="U657" i="97" s="1"/>
  <c r="Y175" i="92"/>
  <c r="Z175" i="92" s="1"/>
  <c r="X184" i="92"/>
  <c r="T184" i="92"/>
  <c r="T182" i="92"/>
  <c r="W182" i="92"/>
  <c r="X182" i="92"/>
  <c r="Y181" i="92"/>
  <c r="Z181" i="92" s="1"/>
  <c r="X180" i="92"/>
  <c r="T180" i="92"/>
  <c r="W180" i="92"/>
  <c r="Y190" i="92"/>
  <c r="Z190" i="92" s="1"/>
  <c r="U658" i="97"/>
  <c r="O659" i="97"/>
  <c r="U659" i="97" s="1"/>
  <c r="S191" i="92"/>
  <c r="W184" i="92"/>
  <c r="W173" i="92"/>
  <c r="X173" i="92"/>
  <c r="X169" i="92"/>
  <c r="W169" i="92"/>
  <c r="W170" i="92"/>
  <c r="X170" i="92"/>
  <c r="Y178" i="92"/>
  <c r="Z178" i="92" s="1"/>
  <c r="I147" i="97"/>
  <c r="W186" i="92"/>
  <c r="X186" i="92"/>
  <c r="X185" i="92"/>
  <c r="W185" i="92"/>
  <c r="W176" i="92"/>
  <c r="X176" i="92"/>
  <c r="W187" i="92"/>
  <c r="X187" i="92"/>
  <c r="X177" i="92"/>
  <c r="W177" i="92"/>
  <c r="X188" i="92"/>
  <c r="W188" i="92"/>
  <c r="X171" i="92"/>
  <c r="W171" i="92"/>
  <c r="W172" i="92"/>
  <c r="X172" i="92"/>
  <c r="X174" i="92"/>
  <c r="W174" i="92"/>
  <c r="X183" i="92"/>
  <c r="W183" i="92"/>
  <c r="Y179" i="92"/>
  <c r="Z179" i="92" s="1"/>
  <c r="AA189" i="92" l="1"/>
  <c r="T191" i="92"/>
  <c r="V655" i="97" s="1"/>
  <c r="W655" i="97" s="1"/>
  <c r="Y186" i="92"/>
  <c r="Z186" i="92" s="1"/>
  <c r="Y184" i="92"/>
  <c r="Z184" i="92" s="1"/>
  <c r="Y182" i="92"/>
  <c r="Z182" i="92" s="1"/>
  <c r="AA181" i="92" s="1"/>
  <c r="Y172" i="92"/>
  <c r="Z172" i="92" s="1"/>
  <c r="Y180" i="92"/>
  <c r="Z180" i="92" s="1"/>
  <c r="AA179" i="92" s="1"/>
  <c r="Y183" i="92"/>
  <c r="Z183" i="92" s="1"/>
  <c r="AA183" i="92" s="1"/>
  <c r="Y188" i="92"/>
  <c r="Z188" i="92" s="1"/>
  <c r="Y187" i="92"/>
  <c r="Z187" i="92" s="1"/>
  <c r="Y173" i="92"/>
  <c r="Z173" i="92" s="1"/>
  <c r="Y177" i="92"/>
  <c r="Z177" i="92" s="1"/>
  <c r="AA177" i="92" s="1"/>
  <c r="Y174" i="92"/>
  <c r="Z174" i="92" s="1"/>
  <c r="W191" i="92"/>
  <c r="V658" i="97" s="1"/>
  <c r="W658" i="97" s="1"/>
  <c r="Y176" i="92"/>
  <c r="Z176" i="92" s="1"/>
  <c r="AA175" i="92" s="1"/>
  <c r="Y169" i="92"/>
  <c r="Z169" i="92" s="1"/>
  <c r="Y170" i="92"/>
  <c r="Z170" i="92" s="1"/>
  <c r="U191" i="92"/>
  <c r="V656" i="97" s="1"/>
  <c r="W656" i="97" s="1"/>
  <c r="X191" i="92"/>
  <c r="V659" i="97" s="1"/>
  <c r="W659" i="97" s="1"/>
  <c r="Y171" i="92"/>
  <c r="Z171" i="92" s="1"/>
  <c r="AA171" i="92" s="1"/>
  <c r="Y185" i="92"/>
  <c r="AA187" i="92" l="1"/>
  <c r="AA173" i="92"/>
  <c r="AA169" i="92"/>
  <c r="Y167" i="92"/>
  <c r="Z167" i="92" s="1"/>
  <c r="AA167" i="92" s="1"/>
  <c r="V191" i="92"/>
  <c r="V657" i="97" s="1"/>
  <c r="W657" i="97" s="1"/>
  <c r="Z185" i="92"/>
  <c r="Z191" i="92" l="1"/>
  <c r="Y191" i="92"/>
  <c r="I649" i="97" s="1"/>
  <c r="I9" i="97" s="1"/>
  <c r="AA185" i="92"/>
  <c r="AA191" i="92" s="1"/>
  <c r="U146" i="97" l="1"/>
  <c r="U145" i="97" s="1"/>
  <c r="AE214" i="92"/>
  <c r="AE209" i="92"/>
  <c r="L208" i="92"/>
  <c r="M208" i="92" s="1"/>
  <c r="J208" i="92"/>
  <c r="I208" i="92"/>
  <c r="AD207" i="92"/>
  <c r="AB209" i="92"/>
  <c r="I207" i="92"/>
  <c r="S116" i="97"/>
  <c r="U118" i="97"/>
  <c r="O116" i="97"/>
  <c r="U122" i="97"/>
  <c r="U124" i="97"/>
  <c r="U125" i="97"/>
  <c r="U126" i="97"/>
  <c r="U127" i="97"/>
  <c r="U128" i="97"/>
  <c r="U129" i="97"/>
  <c r="U130" i="97"/>
  <c r="U131" i="97"/>
  <c r="U133" i="97"/>
  <c r="O115" i="97"/>
  <c r="S115" i="97"/>
  <c r="S114" i="97"/>
  <c r="O114" i="97"/>
  <c r="O109" i="97"/>
  <c r="S109" i="97"/>
  <c r="O110" i="97"/>
  <c r="S110" i="97"/>
  <c r="O111" i="97"/>
  <c r="S111" i="97"/>
  <c r="O112" i="97"/>
  <c r="S112" i="97"/>
  <c r="O113" i="97"/>
  <c r="S113" i="97"/>
  <c r="S108" i="97"/>
  <c r="O108" i="97"/>
  <c r="AE149" i="92"/>
  <c r="Q149" i="92"/>
  <c r="Q214" i="92" s="1"/>
  <c r="P149" i="92"/>
  <c r="L148" i="92"/>
  <c r="J148" i="92"/>
  <c r="I148" i="92"/>
  <c r="L147" i="92"/>
  <c r="L115" i="92"/>
  <c r="O553" i="97" s="1"/>
  <c r="U553" i="97" s="1"/>
  <c r="J115" i="92"/>
  <c r="I115" i="92"/>
  <c r="G115" i="92"/>
  <c r="AC114" i="92"/>
  <c r="L114" i="92"/>
  <c r="J114" i="92"/>
  <c r="I114" i="92"/>
  <c r="L113" i="92"/>
  <c r="J113" i="92"/>
  <c r="I113" i="92"/>
  <c r="G113" i="92"/>
  <c r="AC112" i="92"/>
  <c r="L112" i="92"/>
  <c r="O550" i="97" s="1"/>
  <c r="U550" i="97" s="1"/>
  <c r="K112" i="92"/>
  <c r="J112" i="92"/>
  <c r="I112" i="92"/>
  <c r="L111" i="92"/>
  <c r="J111" i="92"/>
  <c r="I111" i="92"/>
  <c r="G111" i="92"/>
  <c r="AC110" i="92"/>
  <c r="AB110" i="92"/>
  <c r="L110" i="92"/>
  <c r="O548" i="97" s="1"/>
  <c r="U548" i="97" s="1"/>
  <c r="I110" i="92"/>
  <c r="S99" i="97"/>
  <c r="S100" i="97"/>
  <c r="S101" i="97"/>
  <c r="S103" i="97"/>
  <c r="S104" i="97"/>
  <c r="S105" i="97"/>
  <c r="S106" i="97"/>
  <c r="S107" i="97"/>
  <c r="S12" i="97"/>
  <c r="S13" i="97"/>
  <c r="S14" i="97"/>
  <c r="S15" i="97"/>
  <c r="S16" i="97"/>
  <c r="S17" i="97"/>
  <c r="S18" i="97"/>
  <c r="S19" i="97"/>
  <c r="S20" i="97"/>
  <c r="S21" i="97"/>
  <c r="S22" i="97"/>
  <c r="S24" i="97"/>
  <c r="S25" i="97"/>
  <c r="S26" i="97"/>
  <c r="S27" i="97"/>
  <c r="S28" i="97"/>
  <c r="S29" i="97"/>
  <c r="S30" i="97"/>
  <c r="S31" i="97"/>
  <c r="S32" i="97"/>
  <c r="S33" i="97"/>
  <c r="S34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S52" i="97"/>
  <c r="S53" i="97"/>
  <c r="S54" i="97"/>
  <c r="S55" i="97"/>
  <c r="S56" i="97"/>
  <c r="S57" i="97"/>
  <c r="S58" i="97"/>
  <c r="S59" i="97"/>
  <c r="S60" i="97"/>
  <c r="S61" i="97"/>
  <c r="S62" i="97"/>
  <c r="S63" i="97"/>
  <c r="S64" i="97"/>
  <c r="S65" i="97"/>
  <c r="S66" i="97"/>
  <c r="S67" i="97"/>
  <c r="S68" i="97"/>
  <c r="S69" i="97"/>
  <c r="S11" i="97"/>
  <c r="O69" i="97"/>
  <c r="O68" i="97"/>
  <c r="O67" i="97"/>
  <c r="O66" i="97"/>
  <c r="O65" i="97"/>
  <c r="O64" i="97"/>
  <c r="O63" i="97"/>
  <c r="O62" i="97"/>
  <c r="O61" i="97"/>
  <c r="O60" i="97"/>
  <c r="O59" i="97"/>
  <c r="O58" i="97"/>
  <c r="O57" i="97"/>
  <c r="O56" i="97"/>
  <c r="O55" i="97"/>
  <c r="O54" i="97"/>
  <c r="O53" i="97"/>
  <c r="O52" i="97"/>
  <c r="O51" i="97"/>
  <c r="O50" i="97"/>
  <c r="O49" i="97"/>
  <c r="O48" i="97"/>
  <c r="O47" i="97"/>
  <c r="O46" i="97"/>
  <c r="O45" i="97"/>
  <c r="O44" i="97"/>
  <c r="O43" i="97"/>
  <c r="O42" i="97"/>
  <c r="O41" i="97"/>
  <c r="O40" i="97"/>
  <c r="O39" i="97"/>
  <c r="O38" i="97"/>
  <c r="O37" i="97"/>
  <c r="O36" i="97"/>
  <c r="O35" i="97"/>
  <c r="O34" i="97"/>
  <c r="O33" i="97"/>
  <c r="O32" i="97"/>
  <c r="O31" i="97"/>
  <c r="O30" i="97"/>
  <c r="O29" i="97"/>
  <c r="O28" i="97"/>
  <c r="O27" i="97"/>
  <c r="O26" i="97"/>
  <c r="O25" i="97"/>
  <c r="O24" i="97"/>
  <c r="O23" i="97"/>
  <c r="O22" i="97"/>
  <c r="O21" i="97"/>
  <c r="O20" i="97"/>
  <c r="O19" i="97"/>
  <c r="O18" i="97"/>
  <c r="O17" i="97"/>
  <c r="O16" i="97"/>
  <c r="O15" i="97"/>
  <c r="O14" i="97"/>
  <c r="O13" i="97"/>
  <c r="O12" i="97"/>
  <c r="O11" i="97"/>
  <c r="O549" i="97" l="1"/>
  <c r="U549" i="97" s="1"/>
  <c r="O111" i="92"/>
  <c r="M114" i="92"/>
  <c r="O552" i="97"/>
  <c r="U552" i="97" s="1"/>
  <c r="O551" i="97"/>
  <c r="U551" i="97" s="1"/>
  <c r="O113" i="92"/>
  <c r="T207" i="92"/>
  <c r="W207" i="92"/>
  <c r="X207" i="92"/>
  <c r="S207" i="92"/>
  <c r="V209" i="92"/>
  <c r="M148" i="92"/>
  <c r="X148" i="92" s="1"/>
  <c r="U115" i="97"/>
  <c r="U116" i="97"/>
  <c r="U142" i="97"/>
  <c r="O648" i="97" s="1"/>
  <c r="K116" i="92"/>
  <c r="W309" i="97" s="1"/>
  <c r="I116" i="92"/>
  <c r="M110" i="92"/>
  <c r="R110" i="92" s="1"/>
  <c r="O416" i="97"/>
  <c r="U416" i="97" s="1"/>
  <c r="U422" i="97"/>
  <c r="U423" i="97"/>
  <c r="M111" i="92"/>
  <c r="R111" i="92" s="1"/>
  <c r="O417" i="97"/>
  <c r="U417" i="97" s="1"/>
  <c r="P114" i="92"/>
  <c r="I149" i="92"/>
  <c r="U424" i="97"/>
  <c r="U426" i="97"/>
  <c r="U427" i="97"/>
  <c r="U439" i="97"/>
  <c r="O623" i="97"/>
  <c r="U623" i="97" s="1"/>
  <c r="O420" i="97"/>
  <c r="U420" i="97" s="1"/>
  <c r="U430" i="97"/>
  <c r="U438" i="97"/>
  <c r="M112" i="92"/>
  <c r="R112" i="92" s="1"/>
  <c r="O418" i="97"/>
  <c r="U418" i="97" s="1"/>
  <c r="M113" i="92"/>
  <c r="O419" i="97"/>
  <c r="U419" i="97" s="1"/>
  <c r="U436" i="97"/>
  <c r="U437" i="97"/>
  <c r="P115" i="92"/>
  <c r="O421" i="97"/>
  <c r="U421" i="97" s="1"/>
  <c r="O624" i="97"/>
  <c r="U624" i="97" s="1"/>
  <c r="M147" i="92"/>
  <c r="U434" i="97"/>
  <c r="U435" i="97"/>
  <c r="U428" i="97"/>
  <c r="U432" i="97"/>
  <c r="U433" i="97"/>
  <c r="U440" i="97"/>
  <c r="AD110" i="92"/>
  <c r="U114" i="97"/>
  <c r="AD114" i="92"/>
  <c r="J149" i="92"/>
  <c r="W269" i="97" s="1"/>
  <c r="K149" i="92"/>
  <c r="W315" i="97" s="1"/>
  <c r="R208" i="92"/>
  <c r="AB116" i="92"/>
  <c r="AD112" i="92"/>
  <c r="AB149" i="92"/>
  <c r="AD209" i="92"/>
  <c r="AC209" i="92"/>
  <c r="R207" i="92"/>
  <c r="U108" i="97"/>
  <c r="U112" i="97"/>
  <c r="U109" i="97"/>
  <c r="U11" i="97"/>
  <c r="U113" i="97"/>
  <c r="U110" i="97"/>
  <c r="U111" i="97"/>
  <c r="AC149" i="92"/>
  <c r="AC116" i="92"/>
  <c r="M115" i="92"/>
  <c r="J116" i="92"/>
  <c r="W245" i="97" s="1"/>
  <c r="U63" i="97"/>
  <c r="U37" i="97"/>
  <c r="U43" i="97"/>
  <c r="U49" i="97"/>
  <c r="U55" i="97"/>
  <c r="U69" i="97"/>
  <c r="U68" i="97"/>
  <c r="U67" i="97"/>
  <c r="U66" i="97"/>
  <c r="U65" i="97"/>
  <c r="U64" i="97"/>
  <c r="U62" i="97"/>
  <c r="U61" i="97"/>
  <c r="U60" i="97"/>
  <c r="U59" i="97"/>
  <c r="U58" i="97"/>
  <c r="U57" i="97"/>
  <c r="U56" i="97"/>
  <c r="U32" i="97"/>
  <c r="U44" i="97"/>
  <c r="U27" i="97"/>
  <c r="U33" i="97"/>
  <c r="U51" i="97"/>
  <c r="U52" i="97"/>
  <c r="U29" i="97"/>
  <c r="U47" i="97"/>
  <c r="U53" i="97"/>
  <c r="U54" i="97"/>
  <c r="U26" i="97"/>
  <c r="U38" i="97"/>
  <c r="U50" i="97"/>
  <c r="U45" i="97"/>
  <c r="U34" i="97"/>
  <c r="U46" i="97"/>
  <c r="U30" i="97"/>
  <c r="U42" i="97"/>
  <c r="U48" i="97"/>
  <c r="U41" i="97"/>
  <c r="U40" i="97"/>
  <c r="U39" i="97"/>
  <c r="U36" i="97"/>
  <c r="U35" i="97"/>
  <c r="U31" i="97"/>
  <c r="U28" i="97"/>
  <c r="U12" i="97"/>
  <c r="U25" i="97"/>
  <c r="U24" i="97"/>
  <c r="U22" i="97"/>
  <c r="U21" i="97"/>
  <c r="U20" i="97"/>
  <c r="U19" i="97"/>
  <c r="U18" i="97"/>
  <c r="U17" i="97"/>
  <c r="U16" i="97"/>
  <c r="U15" i="97"/>
  <c r="U14" i="97"/>
  <c r="U13" i="97"/>
  <c r="E34" i="23"/>
  <c r="C28" i="117" s="1"/>
  <c r="D19" i="117"/>
  <c r="B6" i="117"/>
  <c r="D28" i="117"/>
  <c r="D22" i="117"/>
  <c r="C18" i="117"/>
  <c r="D17" i="117"/>
  <c r="D23" i="117" s="1"/>
  <c r="C17" i="117"/>
  <c r="V421" i="97" l="1"/>
  <c r="O663" i="97"/>
  <c r="U663" i="97" s="1"/>
  <c r="O661" i="97"/>
  <c r="U661" i="97" s="1"/>
  <c r="O662" i="97" s="1"/>
  <c r="U662" i="97" s="1"/>
  <c r="O660" i="97"/>
  <c r="V143" i="97"/>
  <c r="W143" i="97" s="1"/>
  <c r="R115" i="92"/>
  <c r="S114" i="92"/>
  <c r="V553" i="97"/>
  <c r="X111" i="92"/>
  <c r="S110" i="92"/>
  <c r="R113" i="92"/>
  <c r="T115" i="92"/>
  <c r="R114" i="92"/>
  <c r="T114" i="92"/>
  <c r="X115" i="92"/>
  <c r="X112" i="92"/>
  <c r="W111" i="92"/>
  <c r="W115" i="92"/>
  <c r="T112" i="92"/>
  <c r="T111" i="92"/>
  <c r="S112" i="92"/>
  <c r="S111" i="92"/>
  <c r="S115" i="92"/>
  <c r="R148" i="92"/>
  <c r="R149" i="92" s="1"/>
  <c r="W110" i="92"/>
  <c r="O116" i="92"/>
  <c r="O24" i="23" s="1"/>
  <c r="X113" i="92"/>
  <c r="W148" i="92"/>
  <c r="X110" i="92"/>
  <c r="W113" i="92"/>
  <c r="U148" i="92"/>
  <c r="V148" i="92" s="1"/>
  <c r="T110" i="92"/>
  <c r="X114" i="92"/>
  <c r="W112" i="92"/>
  <c r="T148" i="92"/>
  <c r="W114" i="92"/>
  <c r="T113" i="92"/>
  <c r="S113" i="92"/>
  <c r="V137" i="97"/>
  <c r="W137" i="97" s="1"/>
  <c r="R147" i="92"/>
  <c r="S147" i="92"/>
  <c r="T147" i="92"/>
  <c r="U147" i="92"/>
  <c r="V147" i="92" s="1"/>
  <c r="W147" i="92"/>
  <c r="X147" i="92"/>
  <c r="S148" i="92"/>
  <c r="V445" i="97"/>
  <c r="V624" i="97"/>
  <c r="U648" i="97"/>
  <c r="V113" i="97"/>
  <c r="W113" i="97" s="1"/>
  <c r="AD116" i="92"/>
  <c r="P116" i="92"/>
  <c r="M149" i="92"/>
  <c r="M20" i="23" s="1"/>
  <c r="AD149" i="92"/>
  <c r="V664" i="97"/>
  <c r="M116" i="92"/>
  <c r="M24" i="23" s="1"/>
  <c r="C27" i="117"/>
  <c r="W553" i="97" l="1"/>
  <c r="R116" i="92"/>
  <c r="W624" i="97"/>
  <c r="W421" i="97"/>
  <c r="W445" i="97"/>
  <c r="U660" i="97"/>
  <c r="Y208" i="92"/>
  <c r="T116" i="92"/>
  <c r="Y148" i="92"/>
  <c r="Z148" i="92" s="1"/>
  <c r="Y112" i="92"/>
  <c r="Z112" i="92" s="1"/>
  <c r="Z208" i="92"/>
  <c r="Y114" i="92"/>
  <c r="Z114" i="92" s="1"/>
  <c r="V663" i="97"/>
  <c r="V661" i="97"/>
  <c r="W661" i="97" s="1"/>
  <c r="V662" i="97"/>
  <c r="K645" i="97"/>
  <c r="AC645" i="97" s="1"/>
  <c r="V660" i="97"/>
  <c r="S116" i="92"/>
  <c r="W660" i="97" l="1"/>
  <c r="W662" i="97"/>
  <c r="O664" i="97"/>
  <c r="U664" i="97" s="1"/>
  <c r="W664" i="97" s="1"/>
  <c r="W663" i="97"/>
  <c r="Y111" i="92"/>
  <c r="Z111" i="92" s="1"/>
  <c r="X116" i="92"/>
  <c r="W116" i="92"/>
  <c r="X149" i="92"/>
  <c r="T149" i="92"/>
  <c r="Y115" i="92"/>
  <c r="Z115" i="92" s="1"/>
  <c r="AA114" i="92" s="1"/>
  <c r="V116" i="92"/>
  <c r="Y147" i="92"/>
  <c r="Z147" i="92" s="1"/>
  <c r="AA147" i="92" s="1"/>
  <c r="W149" i="92"/>
  <c r="S149" i="92"/>
  <c r="U116" i="92"/>
  <c r="V149" i="92"/>
  <c r="U149" i="92"/>
  <c r="Y113" i="92"/>
  <c r="Z113" i="92" s="1"/>
  <c r="AA112" i="92" s="1"/>
  <c r="Y207" i="92"/>
  <c r="Y209" i="92" s="1"/>
  <c r="K649" i="97" s="1"/>
  <c r="AC649" i="97" s="1"/>
  <c r="Y110" i="92"/>
  <c r="F40" i="115"/>
  <c r="U4" i="115"/>
  <c r="X8" i="114"/>
  <c r="E40" i="23"/>
  <c r="E8" i="23"/>
  <c r="E7" i="23" s="1"/>
  <c r="F41" i="114"/>
  <c r="S41" i="115"/>
  <c r="S52" i="115"/>
  <c r="X52" i="115" s="1"/>
  <c r="X77" i="115"/>
  <c r="X57" i="115"/>
  <c r="X56" i="115"/>
  <c r="X55" i="115"/>
  <c r="X49" i="115"/>
  <c r="X48" i="115"/>
  <c r="X44" i="115"/>
  <c r="X43" i="115"/>
  <c r="X42" i="115"/>
  <c r="X41" i="115"/>
  <c r="X37" i="115"/>
  <c r="E771" i="97"/>
  <c r="V1" i="115"/>
  <c r="T75" i="115"/>
  <c r="S75" i="115" s="1"/>
  <c r="T43" i="115"/>
  <c r="T44" i="115"/>
  <c r="T40" i="115"/>
  <c r="T32" i="115"/>
  <c r="U2" i="115"/>
  <c r="C21" i="117" s="1"/>
  <c r="U6" i="112"/>
  <c r="Q7" i="112"/>
  <c r="T6" i="112"/>
  <c r="K776" i="97"/>
  <c r="Y8" i="114"/>
  <c r="Y29" i="115"/>
  <c r="Z29" i="115" s="1"/>
  <c r="N20" i="23" l="1"/>
  <c r="N24" i="23"/>
  <c r="P24" i="23" s="1"/>
  <c r="Z207" i="92"/>
  <c r="Z209" i="92" s="1"/>
  <c r="C23" i="117"/>
  <c r="C20" i="117" s="1"/>
  <c r="E48" i="23"/>
  <c r="E47" i="23" s="1"/>
  <c r="E7" i="117"/>
  <c r="X32" i="115"/>
  <c r="Z149" i="92"/>
  <c r="Y149" i="92"/>
  <c r="AA207" i="92"/>
  <c r="AA209" i="92" s="1"/>
  <c r="Y116" i="92"/>
  <c r="Z110" i="92"/>
  <c r="E24" i="117"/>
  <c r="X75" i="115"/>
  <c r="E25" i="117"/>
  <c r="Z8" i="114"/>
  <c r="AA29" i="115"/>
  <c r="AB29" i="115" s="1"/>
  <c r="L102" i="92"/>
  <c r="M102" i="92" s="1"/>
  <c r="J102" i="92"/>
  <c r="I102" i="92"/>
  <c r="M101" i="92"/>
  <c r="I101" i="92"/>
  <c r="Z17" i="105"/>
  <c r="AA17" i="105"/>
  <c r="Z19" i="105"/>
  <c r="AA19" i="105"/>
  <c r="Z21" i="105"/>
  <c r="AA21" i="105"/>
  <c r="Z23" i="105"/>
  <c r="AA23" i="105"/>
  <c r="Z25" i="105"/>
  <c r="AA25" i="105"/>
  <c r="Z27" i="105"/>
  <c r="AA27" i="105"/>
  <c r="J30" i="92"/>
  <c r="J20" i="92"/>
  <c r="J6" i="103"/>
  <c r="G10" i="103"/>
  <c r="G8" i="103"/>
  <c r="G6" i="103"/>
  <c r="Y29" i="105"/>
  <c r="J19" i="105"/>
  <c r="J17" i="105"/>
  <c r="K27" i="105"/>
  <c r="K25" i="105"/>
  <c r="K19" i="105"/>
  <c r="J27" i="105"/>
  <c r="J25" i="105"/>
  <c r="K23" i="105"/>
  <c r="J23" i="105"/>
  <c r="G24" i="105"/>
  <c r="G22" i="105"/>
  <c r="G20" i="105"/>
  <c r="G18" i="105"/>
  <c r="G12" i="105"/>
  <c r="J5" i="105"/>
  <c r="G6" i="105"/>
  <c r="E7" i="105"/>
  <c r="E9" i="105"/>
  <c r="E11" i="105"/>
  <c r="E13" i="105"/>
  <c r="E15" i="105"/>
  <c r="E17" i="105"/>
  <c r="E19" i="105"/>
  <c r="E21" i="105"/>
  <c r="E23" i="105"/>
  <c r="E25" i="105"/>
  <c r="E27" i="105"/>
  <c r="E5" i="105"/>
  <c r="AA149" i="92" l="1"/>
  <c r="R102" i="92"/>
  <c r="AA110" i="92"/>
  <c r="AA116" i="92" s="1"/>
  <c r="E24" i="23" s="1"/>
  <c r="Z116" i="92"/>
  <c r="R101" i="92"/>
  <c r="AC13" i="92"/>
  <c r="AC15" i="92"/>
  <c r="AC17" i="92"/>
  <c r="AC19" i="92"/>
  <c r="AC21" i="92"/>
  <c r="AC23" i="92"/>
  <c r="AC25" i="92"/>
  <c r="AC27" i="92"/>
  <c r="AC29" i="92"/>
  <c r="AC31" i="92"/>
  <c r="AC33" i="92"/>
  <c r="AC35" i="92"/>
  <c r="AC37" i="92"/>
  <c r="AC39" i="92"/>
  <c r="AC41" i="92"/>
  <c r="AC93" i="92"/>
  <c r="AC95" i="92"/>
  <c r="AC97" i="92"/>
  <c r="AC99" i="92"/>
  <c r="AB99" i="92"/>
  <c r="AB95" i="92"/>
  <c r="AB19" i="92"/>
  <c r="AB15" i="92"/>
  <c r="K99" i="92"/>
  <c r="G98" i="92"/>
  <c r="G94" i="92"/>
  <c r="G92" i="92"/>
  <c r="G42" i="92"/>
  <c r="G40" i="92"/>
  <c r="J37" i="92"/>
  <c r="E7" i="92"/>
  <c r="E9" i="92"/>
  <c r="E11" i="92"/>
  <c r="E13" i="92"/>
  <c r="E15" i="92"/>
  <c r="E19" i="92"/>
  <c r="E21" i="92"/>
  <c r="E23" i="92"/>
  <c r="E25" i="92"/>
  <c r="E27" i="92"/>
  <c r="E29" i="92"/>
  <c r="E31" i="92"/>
  <c r="E33" i="92"/>
  <c r="E35" i="92"/>
  <c r="E37" i="92"/>
  <c r="E39" i="92"/>
  <c r="E41" i="92"/>
  <c r="E89" i="92"/>
  <c r="E91" i="92"/>
  <c r="E93" i="92"/>
  <c r="E95" i="92"/>
  <c r="E97" i="92"/>
  <c r="E99" i="92"/>
  <c r="E5" i="92"/>
  <c r="G100" i="92"/>
  <c r="G38" i="92"/>
  <c r="G36" i="92"/>
  <c r="G34" i="92"/>
  <c r="G32" i="92"/>
  <c r="G30" i="92"/>
  <c r="G28" i="92"/>
  <c r="G26" i="92"/>
  <c r="G24" i="92"/>
  <c r="G22" i="92"/>
  <c r="G20" i="92"/>
  <c r="G18" i="92"/>
  <c r="G16" i="92"/>
  <c r="G14" i="92"/>
  <c r="G12" i="92"/>
  <c r="G10" i="92"/>
  <c r="G8" i="92"/>
  <c r="G6" i="92"/>
  <c r="Z101" i="92" l="1"/>
  <c r="Z102" i="92"/>
  <c r="E51" i="119"/>
  <c r="F51" i="119" s="1"/>
  <c r="G51" i="119" s="1"/>
  <c r="E49" i="119"/>
  <c r="E31" i="119"/>
  <c r="F31" i="119" s="1"/>
  <c r="E27" i="119"/>
  <c r="F27" i="119" s="1"/>
  <c r="G27" i="119" s="1"/>
  <c r="E26" i="119"/>
  <c r="F15" i="119"/>
  <c r="F14" i="119" s="1"/>
  <c r="E14" i="119"/>
  <c r="E13" i="119" s="1"/>
  <c r="E12" i="119"/>
  <c r="F12" i="119" s="1"/>
  <c r="E9" i="119"/>
  <c r="M4" i="119"/>
  <c r="L4" i="119"/>
  <c r="L36" i="52"/>
  <c r="M36" i="52" s="1"/>
  <c r="E50" i="52"/>
  <c r="E48" i="52"/>
  <c r="E10" i="52"/>
  <c r="F49" i="119" l="1"/>
  <c r="F26" i="119"/>
  <c r="G26" i="119" s="1"/>
  <c r="E25" i="119"/>
  <c r="E8" i="119"/>
  <c r="E7" i="119" s="1"/>
  <c r="F9" i="119"/>
  <c r="F8" i="119" s="1"/>
  <c r="M35" i="119"/>
  <c r="N35" i="119" s="1"/>
  <c r="AA101" i="92"/>
  <c r="E11" i="119"/>
  <c r="E10" i="119" s="1"/>
  <c r="F13" i="119"/>
  <c r="E35" i="119"/>
  <c r="F11" i="119"/>
  <c r="E30" i="119"/>
  <c r="E29" i="119" s="1"/>
  <c r="G49" i="119"/>
  <c r="G31" i="119"/>
  <c r="F30" i="119"/>
  <c r="G30" i="119" s="1"/>
  <c r="F25" i="119" l="1"/>
  <c r="G25" i="119" s="1"/>
  <c r="F7" i="119"/>
  <c r="G8" i="119"/>
  <c r="E24" i="119"/>
  <c r="G9" i="119"/>
  <c r="F10" i="119"/>
  <c r="F24" i="119"/>
  <c r="G24" i="119" s="1"/>
  <c r="G36" i="119"/>
  <c r="F35" i="119"/>
  <c r="G35" i="119" s="1"/>
  <c r="F29" i="119"/>
  <c r="G29" i="119" s="1"/>
  <c r="G7" i="119" l="1"/>
  <c r="F50" i="23" l="1"/>
  <c r="E33" i="23"/>
  <c r="F22" i="23"/>
  <c r="G22" i="23" s="1"/>
  <c r="J717" i="97"/>
  <c r="J677" i="97"/>
  <c r="K677" i="97"/>
  <c r="K773" i="97"/>
  <c r="E766" i="97"/>
  <c r="I759" i="97"/>
  <c r="K832" i="97"/>
  <c r="K831" i="97" s="1"/>
  <c r="E829" i="97" s="1"/>
  <c r="I832" i="97"/>
  <c r="I831" i="97" s="1"/>
  <c r="J832" i="97"/>
  <c r="J831" i="97" s="1"/>
  <c r="I828" i="97"/>
  <c r="I827" i="97" s="1"/>
  <c r="J828" i="97"/>
  <c r="J827" i="97" s="1"/>
  <c r="H828" i="97"/>
  <c r="E12" i="117" s="1"/>
  <c r="E26" i="117"/>
  <c r="H821" i="97"/>
  <c r="J817" i="97"/>
  <c r="K817" i="97"/>
  <c r="E33" i="117" s="1"/>
  <c r="H817" i="97"/>
  <c r="I741" i="97"/>
  <c r="E741" i="97" s="1"/>
  <c r="V741" i="97" s="1"/>
  <c r="J734" i="97"/>
  <c r="E734" i="97" s="1"/>
  <c r="J727" i="97"/>
  <c r="I677" i="97"/>
  <c r="E16" i="117" s="1"/>
  <c r="G97" i="114"/>
  <c r="H97" i="114" s="1"/>
  <c r="G96" i="114"/>
  <c r="H96" i="114" s="1"/>
  <c r="F96" i="114"/>
  <c r="U95" i="114"/>
  <c r="G95" i="114"/>
  <c r="H95" i="114" s="1"/>
  <c r="F94" i="114"/>
  <c r="G94" i="114" s="1"/>
  <c r="H94" i="114" s="1"/>
  <c r="F93" i="114"/>
  <c r="G93" i="114" s="1"/>
  <c r="H93" i="114" s="1"/>
  <c r="F92" i="114"/>
  <c r="G92" i="114" s="1"/>
  <c r="H92" i="114" s="1"/>
  <c r="G91" i="114"/>
  <c r="H91" i="114" s="1"/>
  <c r="F90" i="114"/>
  <c r="G90" i="114" s="1"/>
  <c r="H90" i="114" s="1"/>
  <c r="H88" i="114"/>
  <c r="G88" i="114"/>
  <c r="F87" i="114"/>
  <c r="G87" i="114" s="1"/>
  <c r="H87" i="114" s="1"/>
  <c r="G86" i="114"/>
  <c r="H86" i="114" s="1"/>
  <c r="T85" i="114"/>
  <c r="H85" i="114"/>
  <c r="G85" i="114"/>
  <c r="F85" i="114"/>
  <c r="T84" i="114"/>
  <c r="H84" i="114"/>
  <c r="G84" i="114"/>
  <c r="F83" i="114"/>
  <c r="G83" i="114" s="1"/>
  <c r="H83" i="114" s="1"/>
  <c r="G82" i="114"/>
  <c r="H82" i="114" s="1"/>
  <c r="G81" i="114"/>
  <c r="H81" i="114" s="1"/>
  <c r="G80" i="114"/>
  <c r="H80" i="114" s="1"/>
  <c r="G79" i="114"/>
  <c r="H79" i="114" s="1"/>
  <c r="G78" i="114"/>
  <c r="H78" i="114" s="1"/>
  <c r="G77" i="114"/>
  <c r="H77" i="114" s="1"/>
  <c r="F76" i="114"/>
  <c r="G76" i="114" s="1"/>
  <c r="H76" i="114" s="1"/>
  <c r="H75" i="114"/>
  <c r="G75" i="114"/>
  <c r="G74" i="114"/>
  <c r="H74" i="114" s="1"/>
  <c r="H73" i="114"/>
  <c r="G73" i="114"/>
  <c r="G72" i="114"/>
  <c r="H72" i="114" s="1"/>
  <c r="H71" i="114"/>
  <c r="G71" i="114"/>
  <c r="G70" i="114"/>
  <c r="H70" i="114" s="1"/>
  <c r="H69" i="114"/>
  <c r="G69" i="114"/>
  <c r="G68" i="114"/>
  <c r="H68" i="114" s="1"/>
  <c r="H67" i="114"/>
  <c r="G67" i="114"/>
  <c r="G66" i="114"/>
  <c r="H66" i="114" s="1"/>
  <c r="F65" i="114"/>
  <c r="G65" i="114" s="1"/>
  <c r="H65" i="114" s="1"/>
  <c r="G64" i="114"/>
  <c r="H64" i="114" s="1"/>
  <c r="G63" i="114"/>
  <c r="H63" i="114" s="1"/>
  <c r="G62" i="114"/>
  <c r="H62" i="114" s="1"/>
  <c r="G61" i="114"/>
  <c r="H61" i="114" s="1"/>
  <c r="G60" i="114"/>
  <c r="H60" i="114" s="1"/>
  <c r="G59" i="114"/>
  <c r="H59" i="114" s="1"/>
  <c r="G58" i="114"/>
  <c r="H58" i="114" s="1"/>
  <c r="G57" i="114"/>
  <c r="H57" i="114" s="1"/>
  <c r="G56" i="114"/>
  <c r="H56" i="114" s="1"/>
  <c r="F55" i="114"/>
  <c r="G55" i="114" s="1"/>
  <c r="H55" i="114" s="1"/>
  <c r="H54" i="114"/>
  <c r="G54" i="114"/>
  <c r="T51" i="114"/>
  <c r="G51" i="114"/>
  <c r="H51" i="114" s="1"/>
  <c r="U50" i="114"/>
  <c r="G50" i="114"/>
  <c r="H50" i="114" s="1"/>
  <c r="U49" i="114"/>
  <c r="G49" i="114"/>
  <c r="F48" i="114"/>
  <c r="G48" i="114" s="1"/>
  <c r="H48" i="114" s="1"/>
  <c r="U46" i="114"/>
  <c r="G46" i="114"/>
  <c r="H46" i="114" s="1"/>
  <c r="T45" i="114"/>
  <c r="G45" i="114"/>
  <c r="H45" i="114" s="1"/>
  <c r="T44" i="114"/>
  <c r="G44" i="114"/>
  <c r="H44" i="114" s="1"/>
  <c r="T43" i="114"/>
  <c r="G43" i="114"/>
  <c r="H43" i="114" s="1"/>
  <c r="G42" i="114"/>
  <c r="H42" i="114" s="1"/>
  <c r="G41" i="114"/>
  <c r="H41" i="114" s="1"/>
  <c r="F40" i="114"/>
  <c r="U39" i="114"/>
  <c r="G39" i="114"/>
  <c r="H39" i="114" s="1"/>
  <c r="G37" i="114"/>
  <c r="H37" i="114" s="1"/>
  <c r="H36" i="114"/>
  <c r="G36" i="114"/>
  <c r="G35" i="114"/>
  <c r="H35" i="114" s="1"/>
  <c r="H34" i="114"/>
  <c r="G34" i="114"/>
  <c r="G33" i="114"/>
  <c r="H33" i="114" s="1"/>
  <c r="F33" i="114"/>
  <c r="U33" i="114" s="1"/>
  <c r="G32" i="114"/>
  <c r="H32" i="114" s="1"/>
  <c r="S31" i="114"/>
  <c r="T31" i="114" s="1"/>
  <c r="F31" i="114" s="1"/>
  <c r="G31" i="114" s="1"/>
  <c r="H31" i="114" s="1"/>
  <c r="S30" i="114"/>
  <c r="T30" i="114" s="1"/>
  <c r="F30" i="114" s="1"/>
  <c r="G30" i="114" s="1"/>
  <c r="H30" i="114" s="1"/>
  <c r="S29" i="114"/>
  <c r="F29" i="114"/>
  <c r="G29" i="114" s="1"/>
  <c r="H29" i="114" s="1"/>
  <c r="S28" i="114"/>
  <c r="F26" i="114"/>
  <c r="H25" i="114"/>
  <c r="G25" i="114"/>
  <c r="H24" i="114"/>
  <c r="G24" i="114"/>
  <c r="F23" i="114"/>
  <c r="G23" i="114" s="1"/>
  <c r="H23" i="114" s="1"/>
  <c r="H22" i="114"/>
  <c r="G22" i="114"/>
  <c r="F21" i="114"/>
  <c r="G21" i="114" s="1"/>
  <c r="H21" i="114" s="1"/>
  <c r="F20" i="114"/>
  <c r="G20" i="114" s="1"/>
  <c r="H20" i="114" s="1"/>
  <c r="F19" i="114"/>
  <c r="G19" i="114" s="1"/>
  <c r="H19" i="114" s="1"/>
  <c r="H18" i="114"/>
  <c r="G18" i="114"/>
  <c r="F17" i="114"/>
  <c r="G17" i="114" s="1"/>
  <c r="H17" i="114" s="1"/>
  <c r="H16" i="114"/>
  <c r="G16" i="114"/>
  <c r="F15" i="114"/>
  <c r="G15" i="114" s="1"/>
  <c r="H15" i="114" s="1"/>
  <c r="F14" i="114"/>
  <c r="G14" i="114" s="1"/>
  <c r="H14" i="114" s="1"/>
  <c r="F13" i="114"/>
  <c r="G13" i="114" s="1"/>
  <c r="H13" i="114" s="1"/>
  <c r="H11" i="114"/>
  <c r="G11" i="114"/>
  <c r="F10" i="114"/>
  <c r="G10" i="114" s="1"/>
  <c r="H10" i="114" s="1"/>
  <c r="G9" i="114"/>
  <c r="H9" i="114" s="1"/>
  <c r="V7" i="114"/>
  <c r="F4" i="114"/>
  <c r="E4" i="114"/>
  <c r="G92" i="115"/>
  <c r="F91" i="115"/>
  <c r="G91" i="115" s="1"/>
  <c r="G89" i="115"/>
  <c r="F88" i="115"/>
  <c r="G88" i="115" s="1"/>
  <c r="G86" i="115"/>
  <c r="F85" i="115"/>
  <c r="F84" i="115" s="1"/>
  <c r="G84" i="115" s="1"/>
  <c r="G83" i="115"/>
  <c r="F82" i="115"/>
  <c r="G82" i="115" s="1"/>
  <c r="G81" i="115"/>
  <c r="F80" i="115"/>
  <c r="F73" i="115" s="1"/>
  <c r="G73" i="115" s="1"/>
  <c r="H73" i="115" s="1"/>
  <c r="G79" i="115"/>
  <c r="G78" i="115"/>
  <c r="G77" i="115"/>
  <c r="G76" i="115"/>
  <c r="G75" i="115"/>
  <c r="G74" i="115"/>
  <c r="G72" i="115"/>
  <c r="H72" i="115" s="1"/>
  <c r="G71" i="115"/>
  <c r="H71" i="115" s="1"/>
  <c r="G70" i="115"/>
  <c r="H70" i="115" s="1"/>
  <c r="H69" i="115"/>
  <c r="G69" i="115"/>
  <c r="G68" i="115"/>
  <c r="H68" i="115" s="1"/>
  <c r="H67" i="115"/>
  <c r="G67" i="115"/>
  <c r="G66" i="115"/>
  <c r="H66" i="115" s="1"/>
  <c r="H65" i="115"/>
  <c r="G65" i="115"/>
  <c r="G64" i="115"/>
  <c r="H64" i="115" s="1"/>
  <c r="H63" i="115"/>
  <c r="G63" i="115"/>
  <c r="F62" i="115"/>
  <c r="G62" i="115" s="1"/>
  <c r="H62" i="115" s="1"/>
  <c r="G61" i="115"/>
  <c r="H61" i="115" s="1"/>
  <c r="G60" i="115"/>
  <c r="H60" i="115" s="1"/>
  <c r="G59" i="115"/>
  <c r="H59" i="115" s="1"/>
  <c r="G58" i="115"/>
  <c r="H58" i="115" s="1"/>
  <c r="S57" i="115"/>
  <c r="G57" i="115"/>
  <c r="H57" i="115" s="1"/>
  <c r="S56" i="115"/>
  <c r="G56" i="115"/>
  <c r="H56" i="115" s="1"/>
  <c r="S55" i="115"/>
  <c r="H55" i="115"/>
  <c r="G55" i="115"/>
  <c r="F54" i="115"/>
  <c r="F51" i="115" s="1"/>
  <c r="S53" i="115"/>
  <c r="G53" i="115"/>
  <c r="H53" i="115" s="1"/>
  <c r="G52" i="115"/>
  <c r="H52" i="115" s="1"/>
  <c r="G49" i="115"/>
  <c r="U49" i="115" s="1"/>
  <c r="T48" i="115"/>
  <c r="G48" i="115"/>
  <c r="H48" i="115" s="1"/>
  <c r="H47" i="115"/>
  <c r="G47" i="115"/>
  <c r="F46" i="115"/>
  <c r="G46" i="115" s="1"/>
  <c r="H46" i="115" s="1"/>
  <c r="G44" i="115"/>
  <c r="H44" i="115" s="1"/>
  <c r="H43" i="115"/>
  <c r="G43" i="115"/>
  <c r="S42" i="115"/>
  <c r="G42" i="115"/>
  <c r="H42" i="115" s="1"/>
  <c r="G41" i="115"/>
  <c r="H41" i="115" s="1"/>
  <c r="U40" i="115"/>
  <c r="G40" i="115"/>
  <c r="H40" i="115" s="1"/>
  <c r="G39" i="115"/>
  <c r="F38" i="115"/>
  <c r="G38" i="115" s="1"/>
  <c r="H38" i="115" s="1"/>
  <c r="G37" i="115"/>
  <c r="H37" i="115" s="1"/>
  <c r="G36" i="115"/>
  <c r="H36" i="115" s="1"/>
  <c r="G35" i="115"/>
  <c r="H35" i="115" s="1"/>
  <c r="G34" i="115"/>
  <c r="H34" i="115" s="1"/>
  <c r="F33" i="115"/>
  <c r="G33" i="115" s="1"/>
  <c r="H33" i="115" s="1"/>
  <c r="G32" i="115"/>
  <c r="H32" i="115" s="1"/>
  <c r="H29" i="115"/>
  <c r="G29" i="115"/>
  <c r="G25" i="115"/>
  <c r="H25" i="115" s="1"/>
  <c r="H24" i="115"/>
  <c r="G24" i="115"/>
  <c r="G23" i="115"/>
  <c r="H23" i="115" s="1"/>
  <c r="H22" i="115"/>
  <c r="G22" i="115"/>
  <c r="H20" i="115"/>
  <c r="G20" i="115"/>
  <c r="G19" i="115"/>
  <c r="H19" i="115" s="1"/>
  <c r="H18" i="115"/>
  <c r="G18" i="115"/>
  <c r="G17" i="115"/>
  <c r="H17" i="115" s="1"/>
  <c r="H16" i="115"/>
  <c r="G16" i="115"/>
  <c r="G15" i="115"/>
  <c r="H15" i="115" s="1"/>
  <c r="H14" i="115"/>
  <c r="G14" i="115"/>
  <c r="G13" i="115"/>
  <c r="H13" i="115" s="1"/>
  <c r="H11" i="115"/>
  <c r="G11" i="115"/>
  <c r="G10" i="115"/>
  <c r="H10" i="115" s="1"/>
  <c r="H9" i="115"/>
  <c r="G9" i="115"/>
  <c r="W8" i="115"/>
  <c r="W6" i="115"/>
  <c r="S6" i="115"/>
  <c r="W5" i="115"/>
  <c r="V52" i="115" s="1"/>
  <c r="S5" i="115"/>
  <c r="W4" i="115"/>
  <c r="F4" i="115"/>
  <c r="E4" i="115"/>
  <c r="U3" i="115"/>
  <c r="W2" i="115"/>
  <c r="F39" i="113"/>
  <c r="G39" i="113" s="1"/>
  <c r="H39" i="113" s="1"/>
  <c r="G36" i="113"/>
  <c r="H36" i="113" s="1"/>
  <c r="F35" i="113"/>
  <c r="G35" i="113" s="1"/>
  <c r="H35" i="113" s="1"/>
  <c r="G33" i="113"/>
  <c r="H33" i="113" s="1"/>
  <c r="G32" i="113"/>
  <c r="G31" i="113"/>
  <c r="F30" i="113"/>
  <c r="G30" i="113" s="1"/>
  <c r="F29" i="113"/>
  <c r="G29" i="113" s="1"/>
  <c r="F28" i="113"/>
  <c r="G28" i="113" s="1"/>
  <c r="F27" i="113"/>
  <c r="G27" i="113" s="1"/>
  <c r="F26" i="113"/>
  <c r="G24" i="113"/>
  <c r="H24" i="113" s="1"/>
  <c r="G23" i="113"/>
  <c r="H23" i="113" s="1"/>
  <c r="G22" i="113"/>
  <c r="H22" i="113" s="1"/>
  <c r="F21" i="113"/>
  <c r="G21" i="113" s="1"/>
  <c r="F19" i="113"/>
  <c r="G19" i="113" s="1"/>
  <c r="H19" i="113" s="1"/>
  <c r="F18" i="113"/>
  <c r="G18" i="113" s="1"/>
  <c r="H18" i="113" s="1"/>
  <c r="F17" i="113"/>
  <c r="G17" i="113" s="1"/>
  <c r="H17" i="113" s="1"/>
  <c r="F16" i="113"/>
  <c r="G16" i="113" s="1"/>
  <c r="H16" i="113" s="1"/>
  <c r="F14" i="113"/>
  <c r="G14" i="113" s="1"/>
  <c r="H14" i="113" s="1"/>
  <c r="F13" i="113"/>
  <c r="G13" i="113" s="1"/>
  <c r="H13" i="113" s="1"/>
  <c r="F12" i="113"/>
  <c r="G12" i="113" s="1"/>
  <c r="H12" i="113" s="1"/>
  <c r="F11" i="113"/>
  <c r="G11" i="113" s="1"/>
  <c r="H11" i="113" s="1"/>
  <c r="F10" i="113"/>
  <c r="G10" i="113" s="1"/>
  <c r="H10" i="113" s="1"/>
  <c r="F8" i="113"/>
  <c r="G8" i="113" s="1"/>
  <c r="H8" i="113" s="1"/>
  <c r="F4" i="113"/>
  <c r="E4" i="113"/>
  <c r="G61" i="112"/>
  <c r="H61" i="112" s="1"/>
  <c r="G58" i="112"/>
  <c r="H58" i="112" s="1"/>
  <c r="F57" i="112"/>
  <c r="G57" i="112" s="1"/>
  <c r="H57" i="112" s="1"/>
  <c r="G55" i="112"/>
  <c r="G53" i="112"/>
  <c r="F52" i="112"/>
  <c r="G52" i="112" s="1"/>
  <c r="H52" i="112" s="1"/>
  <c r="G51" i="112"/>
  <c r="H51" i="112" s="1"/>
  <c r="F50" i="112"/>
  <c r="G50" i="112" s="1"/>
  <c r="H50" i="112" s="1"/>
  <c r="G49" i="112"/>
  <c r="H49" i="112" s="1"/>
  <c r="G48" i="112"/>
  <c r="H48" i="112" s="1"/>
  <c r="F47" i="112"/>
  <c r="G47" i="112" s="1"/>
  <c r="H47" i="112" s="1"/>
  <c r="F46" i="112"/>
  <c r="G46" i="112" s="1"/>
  <c r="H46" i="112" s="1"/>
  <c r="F45" i="112"/>
  <c r="G45" i="112" s="1"/>
  <c r="H45" i="112" s="1"/>
  <c r="F44" i="112"/>
  <c r="G40" i="112"/>
  <c r="H40" i="112" s="1"/>
  <c r="G39" i="112"/>
  <c r="H39" i="112" s="1"/>
  <c r="G38" i="112"/>
  <c r="H38" i="112" s="1"/>
  <c r="F37" i="112"/>
  <c r="G35" i="112"/>
  <c r="H35" i="112" s="1"/>
  <c r="G34" i="112"/>
  <c r="H34" i="112" s="1"/>
  <c r="G33" i="112"/>
  <c r="H33" i="112" s="1"/>
  <c r="H32" i="112"/>
  <c r="G32" i="112"/>
  <c r="U31" i="112"/>
  <c r="G31" i="112"/>
  <c r="H31" i="112" s="1"/>
  <c r="G30" i="112"/>
  <c r="H30" i="112" s="1"/>
  <c r="H29" i="112"/>
  <c r="G29" i="112"/>
  <c r="G27" i="112"/>
  <c r="H27" i="112" s="1"/>
  <c r="G25" i="112"/>
  <c r="H25" i="112" s="1"/>
  <c r="H24" i="112"/>
  <c r="G24" i="112"/>
  <c r="G23" i="112"/>
  <c r="H23" i="112" s="1"/>
  <c r="F22" i="112"/>
  <c r="G22" i="112" s="1"/>
  <c r="H22" i="112" s="1"/>
  <c r="W21" i="112"/>
  <c r="H21" i="112"/>
  <c r="G21" i="112"/>
  <c r="T20" i="112"/>
  <c r="U20" i="112" s="1"/>
  <c r="G20" i="112"/>
  <c r="H20" i="112" s="1"/>
  <c r="T19" i="112"/>
  <c r="U19" i="112" s="1"/>
  <c r="G19" i="112"/>
  <c r="H19" i="112" s="1"/>
  <c r="T18" i="112"/>
  <c r="U18" i="112" s="1"/>
  <c r="G18" i="112"/>
  <c r="H18" i="112" s="1"/>
  <c r="Z17" i="112"/>
  <c r="T17" i="112"/>
  <c r="U17" i="112" s="1"/>
  <c r="V17" i="112" s="1"/>
  <c r="W17" i="112" s="1"/>
  <c r="G17" i="112"/>
  <c r="H17" i="112" s="1"/>
  <c r="Z16" i="112"/>
  <c r="T14" i="112"/>
  <c r="H14" i="112"/>
  <c r="V6" i="112"/>
  <c r="F4" i="112"/>
  <c r="E4" i="112"/>
  <c r="G31" i="111"/>
  <c r="F30" i="111"/>
  <c r="G30" i="111" s="1"/>
  <c r="G29" i="111"/>
  <c r="H26" i="111"/>
  <c r="G26" i="111"/>
  <c r="G25" i="111"/>
  <c r="G24" i="111" s="1"/>
  <c r="F24" i="111"/>
  <c r="F23" i="111"/>
  <c r="E23" i="111"/>
  <c r="G22" i="111"/>
  <c r="H22" i="111" s="1"/>
  <c r="F21" i="111"/>
  <c r="G21" i="111" s="1"/>
  <c r="H21" i="111" s="1"/>
  <c r="F20" i="111"/>
  <c r="G20" i="111" s="1"/>
  <c r="H20" i="111" s="1"/>
  <c r="F19" i="111"/>
  <c r="G19" i="111" s="1"/>
  <c r="H19" i="111" s="1"/>
  <c r="F18" i="111"/>
  <c r="G18" i="111" s="1"/>
  <c r="H18" i="111" s="1"/>
  <c r="D18" i="111"/>
  <c r="F17" i="111"/>
  <c r="G17" i="111" s="1"/>
  <c r="H17" i="111" s="1"/>
  <c r="D17" i="111"/>
  <c r="F16" i="111"/>
  <c r="G16" i="111" s="1"/>
  <c r="H16" i="111" s="1"/>
  <c r="D16" i="111"/>
  <c r="F15" i="111"/>
  <c r="K15" i="111" s="1"/>
  <c r="G12" i="111"/>
  <c r="G11" i="111" s="1"/>
  <c r="G10" i="111" s="1"/>
  <c r="F11" i="111"/>
  <c r="F10" i="111"/>
  <c r="G9" i="111"/>
  <c r="F8" i="111"/>
  <c r="G8" i="111" s="1"/>
  <c r="G7" i="111" s="1"/>
  <c r="K7" i="111"/>
  <c r="F4" i="111"/>
  <c r="E4" i="111"/>
  <c r="G40" i="110"/>
  <c r="F39" i="110"/>
  <c r="G39" i="110" s="1"/>
  <c r="H39" i="110" s="1"/>
  <c r="G38" i="110"/>
  <c r="H35" i="110"/>
  <c r="G35" i="110"/>
  <c r="G34" i="110"/>
  <c r="H34" i="110" s="1"/>
  <c r="H33" i="110"/>
  <c r="G33" i="110"/>
  <c r="F33" i="110"/>
  <c r="G32" i="110"/>
  <c r="H32" i="110" s="1"/>
  <c r="F32" i="110"/>
  <c r="G31" i="110"/>
  <c r="H31" i="110" s="1"/>
  <c r="G30" i="110"/>
  <c r="H30" i="110" s="1"/>
  <c r="G29" i="110"/>
  <c r="H29" i="110" s="1"/>
  <c r="G28" i="110"/>
  <c r="H28" i="110" s="1"/>
  <c r="H27" i="110"/>
  <c r="G26" i="110"/>
  <c r="H26" i="110" s="1"/>
  <c r="G25" i="110"/>
  <c r="H25" i="110" s="1"/>
  <c r="F24" i="110"/>
  <c r="G24" i="110" s="1"/>
  <c r="F23" i="110"/>
  <c r="G23" i="110" s="1"/>
  <c r="H23" i="110" s="1"/>
  <c r="D23" i="110"/>
  <c r="F22" i="110"/>
  <c r="G22" i="110" s="1"/>
  <c r="H22" i="110" s="1"/>
  <c r="D22" i="110"/>
  <c r="F21" i="110"/>
  <c r="G21" i="110" s="1"/>
  <c r="H21" i="110" s="1"/>
  <c r="F19" i="110"/>
  <c r="G19" i="110" s="1"/>
  <c r="F18" i="110"/>
  <c r="G18" i="110" s="1"/>
  <c r="H18" i="110" s="1"/>
  <c r="F17" i="110"/>
  <c r="G17" i="110" s="1"/>
  <c r="H17" i="110" s="1"/>
  <c r="F16" i="110"/>
  <c r="G16" i="110" s="1"/>
  <c r="H16" i="110" s="1"/>
  <c r="D16" i="110"/>
  <c r="D21" i="110" s="1"/>
  <c r="G12" i="110"/>
  <c r="G11" i="110" s="1"/>
  <c r="G10" i="110" s="1"/>
  <c r="F11" i="110"/>
  <c r="F10" i="110" s="1"/>
  <c r="G9" i="110"/>
  <c r="F8" i="110"/>
  <c r="F7" i="110" s="1"/>
  <c r="J6" i="110"/>
  <c r="F4" i="110"/>
  <c r="E4" i="110"/>
  <c r="F34" i="109"/>
  <c r="G34" i="109" s="1"/>
  <c r="F33" i="109"/>
  <c r="G33" i="109" s="1"/>
  <c r="F32" i="109"/>
  <c r="G32" i="109" s="1"/>
  <c r="F31" i="109"/>
  <c r="G31" i="109" s="1"/>
  <c r="E31" i="109"/>
  <c r="E30" i="109"/>
  <c r="F29" i="109"/>
  <c r="E28" i="109"/>
  <c r="F28" i="109" s="1"/>
  <c r="F25" i="109"/>
  <c r="F24" i="109" s="1"/>
  <c r="E24" i="109"/>
  <c r="E23" i="109" s="1"/>
  <c r="F22" i="109"/>
  <c r="F21" i="109"/>
  <c r="F20" i="109" s="1"/>
  <c r="F19" i="109" s="1"/>
  <c r="E20" i="109"/>
  <c r="E19" i="109"/>
  <c r="F18" i="109"/>
  <c r="F17" i="109"/>
  <c r="E17" i="109"/>
  <c r="E16" i="109" s="1"/>
  <c r="F16" i="109"/>
  <c r="F15" i="109"/>
  <c r="F14" i="109"/>
  <c r="F13" i="109" s="1"/>
  <c r="E14" i="109"/>
  <c r="E13" i="109" s="1"/>
  <c r="F12" i="109"/>
  <c r="F11" i="109"/>
  <c r="F10" i="109" s="1"/>
  <c r="E11" i="109"/>
  <c r="E10" i="109"/>
  <c r="G9" i="109"/>
  <c r="F9" i="109"/>
  <c r="F8" i="109"/>
  <c r="G8" i="109" s="1"/>
  <c r="E8" i="109"/>
  <c r="E7" i="109" s="1"/>
  <c r="E4" i="109"/>
  <c r="D4" i="109"/>
  <c r="F37" i="108"/>
  <c r="F36" i="108"/>
  <c r="G36" i="108" s="1"/>
  <c r="F35" i="108"/>
  <c r="E34" i="108"/>
  <c r="F34" i="108" s="1"/>
  <c r="G34" i="108" s="1"/>
  <c r="F32" i="108"/>
  <c r="E31" i="108"/>
  <c r="F31" i="108" s="1"/>
  <c r="G31" i="108" s="1"/>
  <c r="F30" i="108"/>
  <c r="G30" i="108" s="1"/>
  <c r="E30" i="108"/>
  <c r="E29" i="108"/>
  <c r="F29" i="108" s="1"/>
  <c r="G29" i="108" s="1"/>
  <c r="F28" i="108"/>
  <c r="E27" i="108"/>
  <c r="E26" i="108" s="1"/>
  <c r="F26" i="108" s="1"/>
  <c r="F25" i="108"/>
  <c r="F24" i="108"/>
  <c r="F23" i="108"/>
  <c r="E23" i="108"/>
  <c r="E22" i="108"/>
  <c r="F22" i="108" s="1"/>
  <c r="G21" i="108"/>
  <c r="F21" i="108"/>
  <c r="F20" i="108"/>
  <c r="G20" i="108" s="1"/>
  <c r="G19" i="108"/>
  <c r="F19" i="108"/>
  <c r="E18" i="108"/>
  <c r="F18" i="108" s="1"/>
  <c r="G18" i="108" s="1"/>
  <c r="F15" i="108"/>
  <c r="F14" i="108"/>
  <c r="F13" i="108" s="1"/>
  <c r="E14" i="108"/>
  <c r="E13" i="108"/>
  <c r="F12" i="108"/>
  <c r="F11" i="108" s="1"/>
  <c r="F10" i="108" s="1"/>
  <c r="E11" i="108"/>
  <c r="E10" i="108"/>
  <c r="F9" i="108"/>
  <c r="F8" i="108" s="1"/>
  <c r="F7" i="108" s="1"/>
  <c r="E8" i="108"/>
  <c r="E7" i="108" s="1"/>
  <c r="E4" i="108"/>
  <c r="D4" i="108"/>
  <c r="F14" i="23"/>
  <c r="F13" i="23"/>
  <c r="F51" i="23"/>
  <c r="F49" i="23"/>
  <c r="G49" i="23" s="1"/>
  <c r="F46" i="23"/>
  <c r="F39" i="23"/>
  <c r="G39" i="23" s="1"/>
  <c r="F36" i="23"/>
  <c r="E38" i="23"/>
  <c r="F35" i="23"/>
  <c r="G35" i="23" s="1"/>
  <c r="F9" i="23"/>
  <c r="E773" i="97" l="1"/>
  <c r="V773" i="97" s="1"/>
  <c r="AC773" i="97"/>
  <c r="D54" i="23"/>
  <c r="D57" i="23" s="1"/>
  <c r="O830" i="97"/>
  <c r="U830" i="97" s="1"/>
  <c r="U829" i="97" s="1"/>
  <c r="U828" i="97" s="1"/>
  <c r="U827" i="97" s="1"/>
  <c r="E37" i="23"/>
  <c r="F37" i="23" s="1"/>
  <c r="C15" i="117"/>
  <c r="C14" i="117" s="1"/>
  <c r="E702" i="97"/>
  <c r="E717" i="97"/>
  <c r="V717" i="97" s="1"/>
  <c r="E32" i="117"/>
  <c r="U683" i="97"/>
  <c r="V683" i="97" s="1"/>
  <c r="F677" i="97"/>
  <c r="G677" i="97" s="1"/>
  <c r="K828" i="97"/>
  <c r="K827" i="97" s="1"/>
  <c r="C8" i="117"/>
  <c r="F678" i="97"/>
  <c r="G678" i="97" s="1"/>
  <c r="I726" i="97"/>
  <c r="E18" i="117" s="1"/>
  <c r="E727" i="97"/>
  <c r="V727" i="97" s="1"/>
  <c r="E22" i="117"/>
  <c r="F43" i="112"/>
  <c r="W3" i="115"/>
  <c r="U1" i="115"/>
  <c r="W1" i="115" s="1"/>
  <c r="X40" i="115"/>
  <c r="F33" i="23"/>
  <c r="G40" i="114"/>
  <c r="H40" i="114" s="1"/>
  <c r="K682" i="97"/>
  <c r="E29" i="117" s="1"/>
  <c r="F90" i="115"/>
  <c r="G90" i="115" s="1"/>
  <c r="F87" i="115"/>
  <c r="G87" i="115" s="1"/>
  <c r="X6" i="115"/>
  <c r="S8" i="115"/>
  <c r="V8" i="115"/>
  <c r="L17" i="52"/>
  <c r="M16" i="119" s="1"/>
  <c r="N16" i="119" s="1"/>
  <c r="O16" i="119" s="1"/>
  <c r="G37" i="112"/>
  <c r="H37" i="112" s="1"/>
  <c r="T7" i="112"/>
  <c r="T8" i="112" s="1"/>
  <c r="K726" i="97"/>
  <c r="F38" i="114"/>
  <c r="G38" i="114" s="1"/>
  <c r="H38" i="114" s="1"/>
  <c r="U40" i="114"/>
  <c r="F53" i="114"/>
  <c r="F52" i="114" s="1"/>
  <c r="F89" i="114"/>
  <c r="L19" i="52"/>
  <c r="F683" i="97"/>
  <c r="G683" i="97" s="1"/>
  <c r="G26" i="114"/>
  <c r="H26" i="114" s="1"/>
  <c r="E50" i="119"/>
  <c r="E48" i="119" s="1"/>
  <c r="E49" i="52"/>
  <c r="E47" i="52" s="1"/>
  <c r="F777" i="97"/>
  <c r="G777" i="97" s="1"/>
  <c r="L38" i="52"/>
  <c r="F810" i="97"/>
  <c r="G810" i="97" s="1"/>
  <c r="L43" i="52"/>
  <c r="F37" i="110"/>
  <c r="F36" i="110" s="1"/>
  <c r="F14" i="111"/>
  <c r="G14" i="111" s="1"/>
  <c r="H14" i="111" s="1"/>
  <c r="X17" i="112"/>
  <c r="G15" i="111"/>
  <c r="H15" i="111" s="1"/>
  <c r="G37" i="110"/>
  <c r="H37" i="110" s="1"/>
  <c r="F28" i="111"/>
  <c r="F27" i="111" s="1"/>
  <c r="V18" i="112"/>
  <c r="W18" i="112" s="1"/>
  <c r="X18" i="112" s="1"/>
  <c r="V19" i="112"/>
  <c r="W19" i="112" s="1"/>
  <c r="X19" i="112" s="1"/>
  <c r="V20" i="112"/>
  <c r="W20" i="112" s="1"/>
  <c r="X20" i="112" s="1"/>
  <c r="F25" i="113"/>
  <c r="J726" i="97"/>
  <c r="F47" i="23"/>
  <c r="H726" i="97"/>
  <c r="E20" i="23" s="1"/>
  <c r="T52" i="114"/>
  <c r="G52" i="114"/>
  <c r="H52" i="114" s="1"/>
  <c r="T28" i="114"/>
  <c r="U28" i="114" s="1"/>
  <c r="F28" i="114" s="1"/>
  <c r="G53" i="114"/>
  <c r="H53" i="114" s="1"/>
  <c r="U92" i="114"/>
  <c r="F12" i="114"/>
  <c r="F47" i="114"/>
  <c r="G47" i="114" s="1"/>
  <c r="H47" i="114" s="1"/>
  <c r="G51" i="115"/>
  <c r="H51" i="115" s="1"/>
  <c r="F50" i="115"/>
  <c r="F45" i="115"/>
  <c r="G45" i="115" s="1"/>
  <c r="H45" i="115" s="1"/>
  <c r="H49" i="115"/>
  <c r="G54" i="115"/>
  <c r="H54" i="115" s="1"/>
  <c r="G80" i="115"/>
  <c r="G85" i="115"/>
  <c r="X5" i="115"/>
  <c r="F15" i="113"/>
  <c r="G15" i="113" s="1"/>
  <c r="H15" i="113" s="1"/>
  <c r="G26" i="113"/>
  <c r="F38" i="113"/>
  <c r="F9" i="113"/>
  <c r="G9" i="113" s="1"/>
  <c r="H9" i="113" s="1"/>
  <c r="F34" i="113"/>
  <c r="G34" i="113" s="1"/>
  <c r="H34" i="113" s="1"/>
  <c r="G44" i="112"/>
  <c r="H44" i="112" s="1"/>
  <c r="F26" i="112"/>
  <c r="G26" i="112" s="1"/>
  <c r="H26" i="112" s="1"/>
  <c r="G28" i="112"/>
  <c r="H28" i="112" s="1"/>
  <c r="F60" i="112"/>
  <c r="F36" i="112"/>
  <c r="G36" i="112" s="1"/>
  <c r="H36" i="112" s="1"/>
  <c r="F56" i="112"/>
  <c r="G56" i="112" s="1"/>
  <c r="H56" i="112" s="1"/>
  <c r="H24" i="111"/>
  <c r="G23" i="111"/>
  <c r="H23" i="111" s="1"/>
  <c r="G28" i="111"/>
  <c r="H30" i="111"/>
  <c r="F7" i="111"/>
  <c r="H25" i="111"/>
  <c r="G8" i="110"/>
  <c r="G7" i="110" s="1"/>
  <c r="F20" i="110"/>
  <c r="G20" i="110" s="1"/>
  <c r="H20" i="110" s="1"/>
  <c r="F15" i="110"/>
  <c r="G28" i="109"/>
  <c r="F27" i="109"/>
  <c r="G24" i="109"/>
  <c r="F23" i="109"/>
  <c r="G23" i="109" s="1"/>
  <c r="G25" i="109"/>
  <c r="E27" i="109"/>
  <c r="E26" i="109" s="1"/>
  <c r="E6" i="109" s="1"/>
  <c r="J6" i="109" s="1"/>
  <c r="F30" i="109"/>
  <c r="G30" i="109" s="1"/>
  <c r="F7" i="109"/>
  <c r="F27" i="108"/>
  <c r="E33" i="108"/>
  <c r="F33" i="108" s="1"/>
  <c r="G33" i="108" s="1"/>
  <c r="E17" i="108"/>
  <c r="F40" i="23"/>
  <c r="F38" i="23"/>
  <c r="F34" i="23"/>
  <c r="F8" i="23"/>
  <c r="F41" i="23"/>
  <c r="E8" i="117" l="1"/>
  <c r="F20" i="23"/>
  <c r="G20" i="23" s="1"/>
  <c r="E726" i="97"/>
  <c r="E725" i="97" s="1"/>
  <c r="F725" i="97" s="1"/>
  <c r="G725" i="97" s="1"/>
  <c r="F7" i="23"/>
  <c r="G8" i="23"/>
  <c r="F829" i="97"/>
  <c r="G829" i="97" s="1"/>
  <c r="E828" i="97"/>
  <c r="E827" i="97" s="1"/>
  <c r="F827" i="97" s="1"/>
  <c r="G827" i="97" s="1"/>
  <c r="F741" i="97"/>
  <c r="G741" i="97" s="1"/>
  <c r="L53" i="52"/>
  <c r="M53" i="52" s="1"/>
  <c r="N53" i="52" s="1"/>
  <c r="L35" i="52"/>
  <c r="F773" i="97"/>
  <c r="G773" i="97" s="1"/>
  <c r="F727" i="97"/>
  <c r="K758" i="97"/>
  <c r="K757" i="97" s="1"/>
  <c r="J725" i="97"/>
  <c r="M38" i="52"/>
  <c r="N38" i="52" s="1"/>
  <c r="M37" i="119"/>
  <c r="M26" i="119"/>
  <c r="L27" i="52"/>
  <c r="H725" i="97"/>
  <c r="W146" i="97" s="1"/>
  <c r="W147" i="97" s="1"/>
  <c r="E9" i="117"/>
  <c r="M19" i="52"/>
  <c r="N19" i="52" s="1"/>
  <c r="M18" i="119"/>
  <c r="N18" i="119" s="1"/>
  <c r="O18" i="119" s="1"/>
  <c r="K725" i="97"/>
  <c r="E30" i="117"/>
  <c r="M17" i="52"/>
  <c r="N17" i="52" s="1"/>
  <c r="L16" i="52"/>
  <c r="I725" i="97"/>
  <c r="F734" i="97"/>
  <c r="G734" i="97" s="1"/>
  <c r="M43" i="52"/>
  <c r="N43" i="52" s="1"/>
  <c r="N43" i="119"/>
  <c r="L29" i="52"/>
  <c r="J757" i="97"/>
  <c r="G50" i="115"/>
  <c r="H50" i="115" s="1"/>
  <c r="X2" i="115"/>
  <c r="L33" i="52"/>
  <c r="F766" i="97"/>
  <c r="G766" i="97" s="1"/>
  <c r="G89" i="114"/>
  <c r="H89" i="114" s="1"/>
  <c r="U89" i="114"/>
  <c r="L28" i="52"/>
  <c r="F50" i="119"/>
  <c r="E47" i="119"/>
  <c r="F717" i="97"/>
  <c r="G717" i="97" s="1"/>
  <c r="L23" i="52"/>
  <c r="G36" i="110"/>
  <c r="H36" i="110" s="1"/>
  <c r="G25" i="113"/>
  <c r="F13" i="111"/>
  <c r="G13" i="111" s="1"/>
  <c r="H13" i="111" s="1"/>
  <c r="F20" i="113"/>
  <c r="G20" i="113" s="1"/>
  <c r="E797" i="97"/>
  <c r="H832" i="97"/>
  <c r="F48" i="23"/>
  <c r="G28" i="114"/>
  <c r="H28" i="114" s="1"/>
  <c r="F27" i="114"/>
  <c r="F8" i="114" s="1"/>
  <c r="G12" i="114"/>
  <c r="H12" i="114" s="1"/>
  <c r="F7" i="113"/>
  <c r="G38" i="113"/>
  <c r="H38" i="113" s="1"/>
  <c r="F37" i="113"/>
  <c r="G37" i="113" s="1"/>
  <c r="H37" i="113" s="1"/>
  <c r="G43" i="112"/>
  <c r="H43" i="112" s="1"/>
  <c r="F42" i="112"/>
  <c r="G60" i="112"/>
  <c r="H60" i="112" s="1"/>
  <c r="F59" i="112"/>
  <c r="G59" i="112" s="1"/>
  <c r="H59" i="112" s="1"/>
  <c r="H28" i="111"/>
  <c r="G27" i="111"/>
  <c r="G15" i="110"/>
  <c r="H15" i="110" s="1"/>
  <c r="F14" i="110"/>
  <c r="G27" i="109"/>
  <c r="F26" i="109"/>
  <c r="G26" i="109" s="1"/>
  <c r="G7" i="109"/>
  <c r="F6" i="109"/>
  <c r="G6" i="109" s="1"/>
  <c r="F17" i="108"/>
  <c r="G17" i="108" s="1"/>
  <c r="E16" i="108"/>
  <c r="M16" i="52" l="1"/>
  <c r="N16" i="52" s="1"/>
  <c r="M15" i="119"/>
  <c r="N15" i="119" s="1"/>
  <c r="O15" i="119" s="1"/>
  <c r="M35" i="52"/>
  <c r="N35" i="52" s="1"/>
  <c r="N37" i="119"/>
  <c r="O37" i="119" s="1"/>
  <c r="F828" i="97"/>
  <c r="G828" i="97" s="1"/>
  <c r="L52" i="52"/>
  <c r="M52" i="52" s="1"/>
  <c r="N52" i="52" s="1"/>
  <c r="M52" i="119"/>
  <c r="N52" i="119" s="1"/>
  <c r="O52" i="119" s="1"/>
  <c r="M34" i="119"/>
  <c r="N34" i="119" s="1"/>
  <c r="O34" i="119" s="1"/>
  <c r="F685" i="97"/>
  <c r="G685" i="97" s="1"/>
  <c r="L20" i="52"/>
  <c r="M20" i="52" s="1"/>
  <c r="N20" i="52" s="1"/>
  <c r="H831" i="97"/>
  <c r="E13" i="117"/>
  <c r="M23" i="52"/>
  <c r="N23" i="52" s="1"/>
  <c r="M22" i="119"/>
  <c r="N22" i="119" s="1"/>
  <c r="O22" i="119" s="1"/>
  <c r="M33" i="52"/>
  <c r="N33" i="52" s="1"/>
  <c r="M32" i="119"/>
  <c r="N32" i="119" s="1"/>
  <c r="O32" i="119" s="1"/>
  <c r="M27" i="52"/>
  <c r="L26" i="52"/>
  <c r="N26" i="119"/>
  <c r="M29" i="52"/>
  <c r="N29" i="52" s="1"/>
  <c r="M28" i="119"/>
  <c r="N28" i="119" s="1"/>
  <c r="O28" i="119" s="1"/>
  <c r="E31" i="117"/>
  <c r="M28" i="52"/>
  <c r="N28" i="52" s="1"/>
  <c r="M27" i="119"/>
  <c r="N27" i="119" s="1"/>
  <c r="O27" i="119" s="1"/>
  <c r="F726" i="97"/>
  <c r="G726" i="97" s="1"/>
  <c r="G50" i="119"/>
  <c r="F48" i="119"/>
  <c r="F6" i="111"/>
  <c r="K6" i="111" s="1"/>
  <c r="L56" i="52"/>
  <c r="L40" i="52"/>
  <c r="G27" i="114"/>
  <c r="H27" i="114" s="1"/>
  <c r="F797" i="97"/>
  <c r="G797" i="97" s="1"/>
  <c r="F833" i="97"/>
  <c r="G833" i="97" s="1"/>
  <c r="E832" i="97"/>
  <c r="T8" i="114"/>
  <c r="T6" i="114" s="1"/>
  <c r="G8" i="114"/>
  <c r="F7" i="114"/>
  <c r="F6" i="114" s="1"/>
  <c r="Z9" i="114" s="1"/>
  <c r="T7" i="113"/>
  <c r="G7" i="113"/>
  <c r="H7" i="113" s="1"/>
  <c r="F6" i="113"/>
  <c r="G6" i="113" s="1"/>
  <c r="H6" i="113" s="1"/>
  <c r="G42" i="112"/>
  <c r="H42" i="112" s="1"/>
  <c r="F41" i="112"/>
  <c r="G41" i="112" s="1"/>
  <c r="H41" i="112" s="1"/>
  <c r="H27" i="111"/>
  <c r="G6" i="111"/>
  <c r="H6" i="111" s="1"/>
  <c r="G14" i="110"/>
  <c r="H14" i="110" s="1"/>
  <c r="F13" i="110"/>
  <c r="F16" i="108"/>
  <c r="E6" i="108"/>
  <c r="J6" i="108" s="1"/>
  <c r="V6" i="114" l="1"/>
  <c r="U3" i="114" s="1"/>
  <c r="M40" i="52"/>
  <c r="N40" i="52" s="1"/>
  <c r="L51" i="52"/>
  <c r="M51" i="52" s="1"/>
  <c r="N51" i="52" s="1"/>
  <c r="M51" i="119"/>
  <c r="N51" i="119" s="1"/>
  <c r="O51" i="119" s="1"/>
  <c r="M19" i="119"/>
  <c r="N19" i="119" s="1"/>
  <c r="O19" i="119" s="1"/>
  <c r="M25" i="119"/>
  <c r="M56" i="52"/>
  <c r="N56" i="52" s="1"/>
  <c r="L55" i="52"/>
  <c r="M55" i="119"/>
  <c r="M26" i="52"/>
  <c r="N26" i="52" s="1"/>
  <c r="L25" i="52"/>
  <c r="O25" i="52" s="1"/>
  <c r="M39" i="119"/>
  <c r="G48" i="119"/>
  <c r="F47" i="119"/>
  <c r="G47" i="119" s="1"/>
  <c r="E831" i="97"/>
  <c r="F831" i="97" s="1"/>
  <c r="G831" i="97" s="1"/>
  <c r="F832" i="97"/>
  <c r="G832" i="97" s="1"/>
  <c r="H8" i="114"/>
  <c r="G7" i="114"/>
  <c r="G13" i="110"/>
  <c r="F6" i="110"/>
  <c r="K6" i="110" s="1"/>
  <c r="G16" i="108"/>
  <c r="F6" i="108"/>
  <c r="G6" i="108" s="1"/>
  <c r="T3" i="114" l="1"/>
  <c r="N25" i="119"/>
  <c r="O25" i="119" s="1"/>
  <c r="M24" i="119"/>
  <c r="N24" i="119" s="1"/>
  <c r="O24" i="119" s="1"/>
  <c r="M50" i="119"/>
  <c r="N50" i="119" s="1"/>
  <c r="O50" i="119" s="1"/>
  <c r="I18" i="90"/>
  <c r="M25" i="52"/>
  <c r="N25" i="52" s="1"/>
  <c r="I17" i="90"/>
  <c r="N55" i="119"/>
  <c r="O55" i="119" s="1"/>
  <c r="M54" i="119"/>
  <c r="M55" i="52"/>
  <c r="N55" i="52" s="1"/>
  <c r="L54" i="52"/>
  <c r="N39" i="119"/>
  <c r="O39" i="119" s="1"/>
  <c r="G6" i="114"/>
  <c r="H6" i="114" s="1"/>
  <c r="H7" i="114"/>
  <c r="V3" i="114"/>
  <c r="H13" i="110"/>
  <c r="G6" i="110"/>
  <c r="H6" i="110" s="1"/>
  <c r="M53" i="119" l="1"/>
  <c r="N53" i="119" s="1"/>
  <c r="O53" i="119" s="1"/>
  <c r="N54" i="119"/>
  <c r="O54" i="119" s="1"/>
  <c r="M54" i="52"/>
  <c r="N54" i="52" s="1"/>
  <c r="I19" i="90"/>
  <c r="N41" i="107"/>
  <c r="O41" i="107" s="1"/>
  <c r="O40" i="107" s="1"/>
  <c r="O39" i="107"/>
  <c r="N39" i="107"/>
  <c r="N38" i="107"/>
  <c r="O38" i="107" s="1"/>
  <c r="O37" i="107"/>
  <c r="N37" i="107"/>
  <c r="N36" i="107"/>
  <c r="O36" i="107" s="1"/>
  <c r="O35" i="107"/>
  <c r="N35" i="107"/>
  <c r="N34" i="107"/>
  <c r="O34" i="107" s="1"/>
  <c r="N32" i="107"/>
  <c r="O32" i="107" s="1"/>
  <c r="N31" i="107"/>
  <c r="O31" i="107" s="1"/>
  <c r="N30" i="107"/>
  <c r="O30" i="107" s="1"/>
  <c r="N29" i="107"/>
  <c r="O29" i="107" s="1"/>
  <c r="N28" i="107"/>
  <c r="O28" i="107" s="1"/>
  <c r="N27" i="107"/>
  <c r="O27" i="107" s="1"/>
  <c r="N26" i="107"/>
  <c r="O26" i="107" s="1"/>
  <c r="N25" i="107"/>
  <c r="O25" i="107" s="1"/>
  <c r="N24" i="107"/>
  <c r="O24" i="107" s="1"/>
  <c r="N23" i="107"/>
  <c r="O23" i="107" s="1"/>
  <c r="N22" i="107"/>
  <c r="O22" i="107" s="1"/>
  <c r="N21" i="107"/>
  <c r="O21" i="107" s="1"/>
  <c r="N20" i="107"/>
  <c r="O20" i="107" s="1"/>
  <c r="O18" i="107"/>
  <c r="N18" i="107"/>
  <c r="N17" i="107"/>
  <c r="O17" i="107" s="1"/>
  <c r="O16" i="107"/>
  <c r="N16" i="107"/>
  <c r="N15" i="107"/>
  <c r="O15" i="107" s="1"/>
  <c r="O14" i="107"/>
  <c r="N14" i="107"/>
  <c r="N13" i="107"/>
  <c r="O13" i="107" s="1"/>
  <c r="O12" i="107"/>
  <c r="N12" i="107"/>
  <c r="N11" i="107"/>
  <c r="O11" i="107" s="1"/>
  <c r="O10" i="107"/>
  <c r="N10" i="107"/>
  <c r="N9" i="107"/>
  <c r="O9" i="107" s="1"/>
  <c r="O8" i="107"/>
  <c r="N8" i="107"/>
  <c r="N7" i="107"/>
  <c r="O7" i="107" s="1"/>
  <c r="O6" i="107"/>
  <c r="N6" i="107"/>
  <c r="R143" i="106"/>
  <c r="R142" i="106"/>
  <c r="R141" i="106"/>
  <c r="R140" i="106"/>
  <c r="R139" i="106"/>
  <c r="R137" i="106"/>
  <c r="R136" i="106"/>
  <c r="R135" i="106"/>
  <c r="R134" i="106"/>
  <c r="R133" i="106"/>
  <c r="R131" i="106"/>
  <c r="R130" i="106"/>
  <c r="R129" i="106"/>
  <c r="R128" i="106"/>
  <c r="R127" i="106"/>
  <c r="R121" i="106"/>
  <c r="G121" i="106" s="1"/>
  <c r="R118" i="106"/>
  <c r="G118" i="106" s="1"/>
  <c r="G117" i="106" s="1"/>
  <c r="R115" i="106"/>
  <c r="G115" i="106" s="1"/>
  <c r="R112" i="106"/>
  <c r="G112" i="106" s="1"/>
  <c r="R109" i="106"/>
  <c r="G109" i="106" s="1"/>
  <c r="G108" i="106" s="1"/>
  <c r="R106" i="106"/>
  <c r="G106" i="106" s="1"/>
  <c r="R103" i="106"/>
  <c r="G103" i="106" s="1"/>
  <c r="R99" i="106"/>
  <c r="G99" i="106" s="1"/>
  <c r="G98" i="106" s="1"/>
  <c r="R96" i="106"/>
  <c r="G96" i="106" s="1"/>
  <c r="R93" i="106"/>
  <c r="G93" i="106" s="1"/>
  <c r="R90" i="106"/>
  <c r="G90" i="106" s="1"/>
  <c r="G89" i="106" s="1"/>
  <c r="R87" i="106"/>
  <c r="G87" i="106" s="1"/>
  <c r="R81" i="106"/>
  <c r="G81" i="106"/>
  <c r="G80" i="106" s="1"/>
  <c r="R78" i="106"/>
  <c r="G78" i="106" s="1"/>
  <c r="R72" i="106"/>
  <c r="G72" i="106"/>
  <c r="G71" i="106" s="1"/>
  <c r="R69" i="106"/>
  <c r="G69" i="106"/>
  <c r="R63" i="106"/>
  <c r="G63" i="106"/>
  <c r="G62" i="106" s="1"/>
  <c r="R60" i="106"/>
  <c r="G60" i="106" s="1"/>
  <c r="R54" i="106"/>
  <c r="G54" i="106"/>
  <c r="G53" i="106" s="1"/>
  <c r="R51" i="106"/>
  <c r="G51" i="106"/>
  <c r="R45" i="106"/>
  <c r="G45" i="106"/>
  <c r="G44" i="106" s="1"/>
  <c r="R42" i="106"/>
  <c r="G42" i="106"/>
  <c r="H41" i="106"/>
  <c r="H50" i="106" s="1"/>
  <c r="R36" i="106"/>
  <c r="G36" i="106"/>
  <c r="G35" i="106" s="1"/>
  <c r="R33" i="106"/>
  <c r="G33" i="106"/>
  <c r="H32" i="106"/>
  <c r="R32" i="106" s="1"/>
  <c r="G32" i="106" s="1"/>
  <c r="G31" i="106" s="1"/>
  <c r="H29" i="106"/>
  <c r="R29" i="106" s="1"/>
  <c r="G29" i="106" s="1"/>
  <c r="G28" i="106" s="1"/>
  <c r="R27" i="106"/>
  <c r="G27" i="106"/>
  <c r="G26" i="106" s="1"/>
  <c r="R24" i="106"/>
  <c r="G24" i="106"/>
  <c r="R23" i="106"/>
  <c r="G23" i="106"/>
  <c r="G22" i="106" s="1"/>
  <c r="R20" i="106"/>
  <c r="G20" i="106" s="1"/>
  <c r="R18" i="106"/>
  <c r="G18" i="106" s="1"/>
  <c r="R14" i="106"/>
  <c r="H14" i="106"/>
  <c r="G13" i="106"/>
  <c r="N11" i="96"/>
  <c r="K145" i="97" s="1"/>
  <c r="N5" i="96"/>
  <c r="L5" i="52"/>
  <c r="E5" i="97" s="1"/>
  <c r="K5" i="52"/>
  <c r="D5" i="97" s="1"/>
  <c r="F50" i="52"/>
  <c r="G50" i="52" s="1"/>
  <c r="F49" i="52"/>
  <c r="G49" i="52" s="1"/>
  <c r="F48" i="52"/>
  <c r="G48" i="52" s="1"/>
  <c r="G33" i="52"/>
  <c r="G25" i="52"/>
  <c r="E13" i="52"/>
  <c r="F13" i="52" s="1"/>
  <c r="F12" i="52" s="1"/>
  <c r="E9" i="52"/>
  <c r="AE103" i="92"/>
  <c r="O11" i="103"/>
  <c r="AA29" i="105"/>
  <c r="K29" i="105"/>
  <c r="N29" i="105"/>
  <c r="O29" i="105"/>
  <c r="Z29" i="105"/>
  <c r="AC29" i="105"/>
  <c r="M24" i="105"/>
  <c r="J18" i="105"/>
  <c r="AA9" i="105"/>
  <c r="AA11" i="105"/>
  <c r="AA13" i="105"/>
  <c r="AA15" i="105"/>
  <c r="AB15" i="105" s="1"/>
  <c r="K17" i="105"/>
  <c r="J15" i="105"/>
  <c r="K13" i="105"/>
  <c r="J7" i="105"/>
  <c r="J9" i="105"/>
  <c r="Z7" i="105"/>
  <c r="Z9" i="105"/>
  <c r="Z11" i="105"/>
  <c r="Z13" i="105"/>
  <c r="Z15" i="105"/>
  <c r="Z5" i="105"/>
  <c r="M14" i="105"/>
  <c r="P14" i="105" s="1"/>
  <c r="M15" i="105"/>
  <c r="M16" i="105"/>
  <c r="M25" i="105"/>
  <c r="M28" i="105"/>
  <c r="M6" i="105"/>
  <c r="Z8" i="103"/>
  <c r="Z7" i="103"/>
  <c r="K9" i="103"/>
  <c r="M7" i="103"/>
  <c r="K7" i="103"/>
  <c r="K11" i="103" s="1"/>
  <c r="L28" i="105"/>
  <c r="J28" i="105"/>
  <c r="I28" i="105"/>
  <c r="L27" i="105"/>
  <c r="M27" i="105" s="1"/>
  <c r="I27" i="105"/>
  <c r="L26" i="105"/>
  <c r="M26" i="105" s="1"/>
  <c r="J26" i="105"/>
  <c r="I26" i="105"/>
  <c r="AB25" i="105"/>
  <c r="L25" i="105"/>
  <c r="I25" i="105"/>
  <c r="L24" i="105"/>
  <c r="I24" i="105"/>
  <c r="L23" i="105"/>
  <c r="M23" i="105" s="1"/>
  <c r="I23" i="105"/>
  <c r="L22" i="105"/>
  <c r="M22" i="105" s="1"/>
  <c r="J22" i="105"/>
  <c r="I22" i="105"/>
  <c r="L21" i="105"/>
  <c r="M21" i="105" s="1"/>
  <c r="J21" i="105"/>
  <c r="I21" i="105"/>
  <c r="L20" i="105"/>
  <c r="M20" i="105" s="1"/>
  <c r="J20" i="105"/>
  <c r="I20" i="105"/>
  <c r="AB19" i="105"/>
  <c r="L19" i="105"/>
  <c r="I19" i="105"/>
  <c r="L18" i="105"/>
  <c r="M18" i="105" s="1"/>
  <c r="I18" i="105"/>
  <c r="AB17" i="105"/>
  <c r="L17" i="105"/>
  <c r="M17" i="105" s="1"/>
  <c r="I17" i="105"/>
  <c r="L16" i="105"/>
  <c r="J16" i="105"/>
  <c r="I16" i="105"/>
  <c r="L15" i="105"/>
  <c r="I15" i="105"/>
  <c r="L14" i="105"/>
  <c r="I14" i="105"/>
  <c r="AB13" i="105"/>
  <c r="L13" i="105"/>
  <c r="M13" i="105" s="1"/>
  <c r="J13" i="105"/>
  <c r="I13" i="105"/>
  <c r="L12" i="105"/>
  <c r="M12" i="105" s="1"/>
  <c r="J12" i="105"/>
  <c r="I12" i="105"/>
  <c r="AB11" i="105"/>
  <c r="L11" i="105"/>
  <c r="M11" i="105" s="1"/>
  <c r="J11" i="105"/>
  <c r="I11" i="105"/>
  <c r="L10" i="105"/>
  <c r="M10" i="105" s="1"/>
  <c r="J10" i="105"/>
  <c r="I10" i="105"/>
  <c r="AB9" i="105"/>
  <c r="L9" i="105"/>
  <c r="M9" i="105" s="1"/>
  <c r="I9" i="105"/>
  <c r="L8" i="105"/>
  <c r="M8" i="105" s="1"/>
  <c r="J8" i="105"/>
  <c r="I8" i="105"/>
  <c r="AA7" i="105"/>
  <c r="AB7" i="105" s="1"/>
  <c r="L7" i="105"/>
  <c r="M7" i="105" s="1"/>
  <c r="I7" i="105"/>
  <c r="L6" i="105"/>
  <c r="J6" i="105"/>
  <c r="I6" i="105"/>
  <c r="AA5" i="105"/>
  <c r="L5" i="105"/>
  <c r="M5" i="105" s="1"/>
  <c r="I5" i="105"/>
  <c r="L10" i="103"/>
  <c r="N10" i="103" s="1"/>
  <c r="J10" i="103"/>
  <c r="I10" i="103"/>
  <c r="AA9" i="103"/>
  <c r="Z9" i="103"/>
  <c r="L9" i="103"/>
  <c r="M9" i="103" s="1"/>
  <c r="J9" i="103"/>
  <c r="I9" i="103"/>
  <c r="L8" i="103"/>
  <c r="M8" i="103" s="1"/>
  <c r="J8" i="103"/>
  <c r="I8" i="103"/>
  <c r="AA7" i="103"/>
  <c r="AB7" i="103" s="1"/>
  <c r="L7" i="103"/>
  <c r="J7" i="103"/>
  <c r="I7" i="103"/>
  <c r="L6" i="103"/>
  <c r="M6" i="103" s="1"/>
  <c r="I6" i="103"/>
  <c r="AA5" i="103"/>
  <c r="AA11" i="103" s="1"/>
  <c r="Z5" i="103"/>
  <c r="Z11" i="103" s="1"/>
  <c r="L5" i="103"/>
  <c r="I5" i="103"/>
  <c r="L50" i="102"/>
  <c r="M50" i="102" s="1"/>
  <c r="L47" i="102"/>
  <c r="L46" i="102" s="1"/>
  <c r="L45" i="102" s="1"/>
  <c r="E47" i="102"/>
  <c r="F47" i="102" s="1"/>
  <c r="G47" i="102" s="1"/>
  <c r="E46" i="102"/>
  <c r="F46" i="102" s="1"/>
  <c r="G46" i="102" s="1"/>
  <c r="E45" i="102"/>
  <c r="L44" i="102"/>
  <c r="M44" i="102" s="1"/>
  <c r="L42" i="102"/>
  <c r="M42" i="102" s="1"/>
  <c r="N42" i="102" s="1"/>
  <c r="E42" i="102"/>
  <c r="F42" i="102" s="1"/>
  <c r="L41" i="102"/>
  <c r="M41" i="102" s="1"/>
  <c r="N41" i="102" s="1"/>
  <c r="E41" i="102"/>
  <c r="F41" i="102" s="1"/>
  <c r="L40" i="102"/>
  <c r="M40" i="102" s="1"/>
  <c r="N40" i="102" s="1"/>
  <c r="L39" i="102"/>
  <c r="M39" i="102" s="1"/>
  <c r="N39" i="102" s="1"/>
  <c r="L38" i="102"/>
  <c r="M38" i="102" s="1"/>
  <c r="N38" i="102" s="1"/>
  <c r="E38" i="102"/>
  <c r="E37" i="102" s="1"/>
  <c r="E36" i="102" s="1"/>
  <c r="L37" i="102"/>
  <c r="L35" i="102"/>
  <c r="M35" i="102" s="1"/>
  <c r="N35" i="102" s="1"/>
  <c r="E35" i="102"/>
  <c r="F35" i="102" s="1"/>
  <c r="F34" i="102" s="1"/>
  <c r="L34" i="102"/>
  <c r="M34" i="102" s="1"/>
  <c r="N34" i="102" s="1"/>
  <c r="L33" i="102"/>
  <c r="M33" i="102" s="1"/>
  <c r="N33" i="102" s="1"/>
  <c r="J33" i="102"/>
  <c r="E33" i="102"/>
  <c r="F33" i="102" s="1"/>
  <c r="G33" i="102" s="1"/>
  <c r="L32" i="102"/>
  <c r="M32" i="102" s="1"/>
  <c r="N32" i="102" s="1"/>
  <c r="E32" i="102"/>
  <c r="L31" i="102"/>
  <c r="E29" i="102"/>
  <c r="F29" i="102" s="1"/>
  <c r="F28" i="102" s="1"/>
  <c r="L28" i="102"/>
  <c r="M28" i="102" s="1"/>
  <c r="N28" i="102" s="1"/>
  <c r="L27" i="102"/>
  <c r="M27" i="102" s="1"/>
  <c r="N27" i="102" s="1"/>
  <c r="F27" i="102"/>
  <c r="E27" i="102"/>
  <c r="L26" i="102"/>
  <c r="M26" i="102" s="1"/>
  <c r="F26" i="102"/>
  <c r="F23" i="102" s="1"/>
  <c r="E26" i="102"/>
  <c r="F25" i="102"/>
  <c r="E25" i="102"/>
  <c r="F24" i="102"/>
  <c r="E24" i="102"/>
  <c r="L23" i="102"/>
  <c r="M23" i="102" s="1"/>
  <c r="N23" i="102" s="1"/>
  <c r="L22" i="102"/>
  <c r="M22" i="102" s="1"/>
  <c r="N22" i="102" s="1"/>
  <c r="F22" i="102"/>
  <c r="L21" i="102"/>
  <c r="M21" i="102" s="1"/>
  <c r="N21" i="102" s="1"/>
  <c r="E21" i="102"/>
  <c r="D21" i="102"/>
  <c r="C21" i="102"/>
  <c r="L20" i="102"/>
  <c r="M20" i="102" s="1"/>
  <c r="N20" i="102" s="1"/>
  <c r="D20" i="102"/>
  <c r="L19" i="102"/>
  <c r="M19" i="102" s="1"/>
  <c r="N19" i="102" s="1"/>
  <c r="D19" i="102"/>
  <c r="C19" i="102"/>
  <c r="L18" i="102"/>
  <c r="B17" i="102"/>
  <c r="L16" i="102"/>
  <c r="M16" i="102" s="1"/>
  <c r="N16" i="102" s="1"/>
  <c r="E15" i="102"/>
  <c r="E14" i="102" s="1"/>
  <c r="E13" i="102" s="1"/>
  <c r="L14" i="102"/>
  <c r="M14" i="102" s="1"/>
  <c r="N14" i="102" s="1"/>
  <c r="E12" i="102"/>
  <c r="E11" i="102" s="1"/>
  <c r="E10" i="102" s="1"/>
  <c r="L10" i="102"/>
  <c r="M10" i="102" s="1"/>
  <c r="N10" i="102" s="1"/>
  <c r="E9" i="102"/>
  <c r="E8" i="102" s="1"/>
  <c r="E7" i="102" s="1"/>
  <c r="O6" i="102"/>
  <c r="L4" i="102"/>
  <c r="K4" i="102"/>
  <c r="AD89" i="92"/>
  <c r="AD15" i="92"/>
  <c r="AD99" i="92"/>
  <c r="AB7" i="92"/>
  <c r="AC7" i="92"/>
  <c r="AB9" i="92"/>
  <c r="AC9" i="92"/>
  <c r="AB11" i="92"/>
  <c r="AC11" i="92"/>
  <c r="AB13" i="92"/>
  <c r="AB17" i="92"/>
  <c r="AB21" i="92"/>
  <c r="AB23" i="92"/>
  <c r="AB25" i="92"/>
  <c r="AB27" i="92"/>
  <c r="AB29" i="92"/>
  <c r="AB31" i="92"/>
  <c r="AB33" i="92"/>
  <c r="AB35" i="92"/>
  <c r="AB37" i="92"/>
  <c r="AB39" i="92"/>
  <c r="AB41" i="92"/>
  <c r="AB93" i="92"/>
  <c r="AB97" i="92"/>
  <c r="L92" i="92"/>
  <c r="J92" i="92"/>
  <c r="I92" i="92"/>
  <c r="L91" i="92"/>
  <c r="I91" i="92"/>
  <c r="L90" i="92"/>
  <c r="J90" i="92"/>
  <c r="I90" i="92"/>
  <c r="L89" i="92"/>
  <c r="I89" i="92"/>
  <c r="AC5" i="92"/>
  <c r="AB5" i="92"/>
  <c r="L100" i="92"/>
  <c r="J100" i="92"/>
  <c r="I100" i="92"/>
  <c r="L99" i="92"/>
  <c r="J99" i="92"/>
  <c r="I99" i="92"/>
  <c r="AC145" i="97" l="1"/>
  <c r="AC9" i="97" s="1"/>
  <c r="O547" i="97"/>
  <c r="U547" i="97" s="1"/>
  <c r="O100" i="92"/>
  <c r="U415" i="97"/>
  <c r="O546" i="97"/>
  <c r="U546" i="97" s="1"/>
  <c r="U414" i="97"/>
  <c r="O539" i="97"/>
  <c r="U539" i="97" s="1"/>
  <c r="O92" i="92"/>
  <c r="U407" i="97"/>
  <c r="O538" i="97"/>
  <c r="U538" i="97" s="1"/>
  <c r="U406" i="97"/>
  <c r="O536" i="97"/>
  <c r="U536" i="97" s="1"/>
  <c r="O89" i="92"/>
  <c r="T90" i="92"/>
  <c r="U106" i="97"/>
  <c r="U105" i="97"/>
  <c r="U400" i="97"/>
  <c r="U404" i="97"/>
  <c r="G17" i="106"/>
  <c r="G8" i="106"/>
  <c r="G7" i="106" s="1"/>
  <c r="H38" i="106"/>
  <c r="H47" i="106" s="1"/>
  <c r="H56" i="106" s="1"/>
  <c r="L11" i="52"/>
  <c r="M11" i="52" s="1"/>
  <c r="N11" i="52" s="1"/>
  <c r="M10" i="119"/>
  <c r="N10" i="119" s="1"/>
  <c r="O10" i="119" s="1"/>
  <c r="F145" i="97"/>
  <c r="G145" i="97" s="1"/>
  <c r="F47" i="52"/>
  <c r="AC103" i="92"/>
  <c r="AC214" i="92" s="1"/>
  <c r="AB103" i="92"/>
  <c r="AB214" i="92" s="1"/>
  <c r="M99" i="92"/>
  <c r="M91" i="92"/>
  <c r="S91" i="92" s="1"/>
  <c r="U402" i="97"/>
  <c r="M92" i="92"/>
  <c r="R92" i="92" s="1"/>
  <c r="U403" i="97"/>
  <c r="M100" i="92"/>
  <c r="M90" i="92"/>
  <c r="W90" i="92" s="1"/>
  <c r="U401" i="97"/>
  <c r="F11" i="52"/>
  <c r="E8" i="52"/>
  <c r="D11" i="90" s="1"/>
  <c r="I11" i="103"/>
  <c r="L11" i="103"/>
  <c r="J11" i="103"/>
  <c r="J29" i="105"/>
  <c r="I29" i="105"/>
  <c r="M29" i="105"/>
  <c r="L29" i="105"/>
  <c r="AD93" i="92"/>
  <c r="AD97" i="92"/>
  <c r="AD95" i="92"/>
  <c r="AD23" i="92"/>
  <c r="E23" i="102"/>
  <c r="E44" i="102"/>
  <c r="E43" i="102" s="1"/>
  <c r="L30" i="102"/>
  <c r="D17" i="102"/>
  <c r="E31" i="102"/>
  <c r="L36" i="102"/>
  <c r="M36" i="102" s="1"/>
  <c r="N36" i="102" s="1"/>
  <c r="L17" i="102"/>
  <c r="F21" i="102"/>
  <c r="E12" i="52"/>
  <c r="E11" i="52" s="1"/>
  <c r="F12" i="102"/>
  <c r="M18" i="102"/>
  <c r="N18" i="102" s="1"/>
  <c r="E28" i="102"/>
  <c r="L43" i="102"/>
  <c r="AD5" i="92"/>
  <c r="AD41" i="92"/>
  <c r="AD37" i="92"/>
  <c r="AD33" i="92"/>
  <c r="AD17" i="92"/>
  <c r="AD11" i="92"/>
  <c r="AD7" i="92"/>
  <c r="AD39" i="92"/>
  <c r="AD31" i="92"/>
  <c r="AD27" i="92"/>
  <c r="AD13" i="92"/>
  <c r="AD91" i="92"/>
  <c r="E40" i="102"/>
  <c r="E39" i="102" s="1"/>
  <c r="O33" i="107"/>
  <c r="O19" i="107"/>
  <c r="O5" i="107"/>
  <c r="O4" i="107" s="1"/>
  <c r="R50" i="106"/>
  <c r="G50" i="106" s="1"/>
  <c r="G49" i="106" s="1"/>
  <c r="H59" i="106"/>
  <c r="G12" i="106"/>
  <c r="G102" i="106"/>
  <c r="G19" i="106"/>
  <c r="G16" i="106" s="1"/>
  <c r="G25" i="106"/>
  <c r="R47" i="106"/>
  <c r="G47" i="106" s="1"/>
  <c r="G46" i="106" s="1"/>
  <c r="G43" i="106" s="1"/>
  <c r="R41" i="106"/>
  <c r="G41" i="106" s="1"/>
  <c r="G40" i="106" s="1"/>
  <c r="G32" i="52"/>
  <c r="E25" i="52"/>
  <c r="I12" i="90" s="1"/>
  <c r="F10" i="52"/>
  <c r="M5" i="103"/>
  <c r="P5" i="103" s="1"/>
  <c r="N9" i="103"/>
  <c r="N11" i="103" s="1"/>
  <c r="P11" i="105"/>
  <c r="Q11" i="105" s="1"/>
  <c r="P12" i="105"/>
  <c r="Q12" i="105" s="1"/>
  <c r="P27" i="105"/>
  <c r="Q27" i="105" s="1"/>
  <c r="P20" i="105"/>
  <c r="M19" i="105"/>
  <c r="P18" i="105"/>
  <c r="Q18" i="105" s="1"/>
  <c r="P9" i="105"/>
  <c r="R9" i="105" s="1"/>
  <c r="P13" i="105"/>
  <c r="S13" i="105" s="1"/>
  <c r="T13" i="105" s="1"/>
  <c r="U14" i="105"/>
  <c r="P15" i="105"/>
  <c r="V15" i="105" s="1"/>
  <c r="AB23" i="105"/>
  <c r="P24" i="105"/>
  <c r="P5" i="105"/>
  <c r="P7" i="105"/>
  <c r="P8" i="105"/>
  <c r="P16" i="105"/>
  <c r="U16" i="105" s="1"/>
  <c r="AB27" i="105"/>
  <c r="AB29" i="105" s="1"/>
  <c r="AB21" i="105"/>
  <c r="P23" i="105"/>
  <c r="P26" i="105"/>
  <c r="Q26" i="105" s="1"/>
  <c r="Q14" i="105"/>
  <c r="R14" i="105"/>
  <c r="V14" i="105"/>
  <c r="P25" i="105"/>
  <c r="AB5" i="105"/>
  <c r="P6" i="105"/>
  <c r="P10" i="105"/>
  <c r="V11" i="105"/>
  <c r="S14" i="105"/>
  <c r="T14" i="105" s="1"/>
  <c r="V16" i="105"/>
  <c r="P17" i="105"/>
  <c r="V17" i="105" s="1"/>
  <c r="P21" i="105"/>
  <c r="Q21" i="105" s="1"/>
  <c r="S12" i="105"/>
  <c r="T12" i="105" s="1"/>
  <c r="S20" i="105"/>
  <c r="T20" i="105" s="1"/>
  <c r="R26" i="105"/>
  <c r="AB9" i="103"/>
  <c r="AB5" i="103"/>
  <c r="AB11" i="103" s="1"/>
  <c r="M10" i="103"/>
  <c r="P10" i="103" s="1"/>
  <c r="P8" i="103"/>
  <c r="Q8" i="103" s="1"/>
  <c r="P7" i="103"/>
  <c r="V7" i="103" s="1"/>
  <c r="M25" i="102"/>
  <c r="N26" i="102"/>
  <c r="N44" i="102"/>
  <c r="N45" i="102"/>
  <c r="M43" i="102"/>
  <c r="N43" i="102" s="1"/>
  <c r="M49" i="102"/>
  <c r="N51" i="102"/>
  <c r="G41" i="102"/>
  <c r="F40" i="102"/>
  <c r="L15" i="102"/>
  <c r="F38" i="102"/>
  <c r="M47" i="102"/>
  <c r="F32" i="102"/>
  <c r="E34" i="102"/>
  <c r="M37" i="102"/>
  <c r="N37" i="102" s="1"/>
  <c r="F45" i="102"/>
  <c r="L49" i="102"/>
  <c r="L48" i="102" s="1"/>
  <c r="M31" i="102"/>
  <c r="L25" i="102"/>
  <c r="L24" i="102" s="1"/>
  <c r="F9" i="102"/>
  <c r="F15" i="102"/>
  <c r="AD19" i="92"/>
  <c r="AD29" i="92"/>
  <c r="AD25" i="92"/>
  <c r="AD9" i="92"/>
  <c r="M89" i="92"/>
  <c r="R89" i="92" s="1"/>
  <c r="AD35" i="92"/>
  <c r="AD21" i="92"/>
  <c r="S92" i="92" l="1"/>
  <c r="R38" i="106"/>
  <c r="G38" i="106" s="1"/>
  <c r="G37" i="106" s="1"/>
  <c r="G34" i="106" s="1"/>
  <c r="T92" i="92"/>
  <c r="X92" i="92"/>
  <c r="W92" i="92"/>
  <c r="X91" i="92"/>
  <c r="X90" i="92"/>
  <c r="R99" i="92"/>
  <c r="S99" i="92"/>
  <c r="T99" i="92"/>
  <c r="W99" i="92"/>
  <c r="X99" i="92"/>
  <c r="R90" i="92"/>
  <c r="S90" i="92"/>
  <c r="R91" i="92"/>
  <c r="T89" i="92"/>
  <c r="W89" i="92"/>
  <c r="T91" i="92"/>
  <c r="R100" i="92"/>
  <c r="S100" i="92"/>
  <c r="T100" i="92"/>
  <c r="W100" i="92"/>
  <c r="X100" i="92"/>
  <c r="X89" i="92"/>
  <c r="W91" i="92"/>
  <c r="S89" i="92"/>
  <c r="F46" i="52"/>
  <c r="G46" i="52" s="1"/>
  <c r="G47" i="52"/>
  <c r="E30" i="102"/>
  <c r="AD103" i="92"/>
  <c r="AD214" i="92" s="1"/>
  <c r="E46" i="52"/>
  <c r="I14" i="90" s="1"/>
  <c r="L29" i="102"/>
  <c r="M29" i="102" s="1"/>
  <c r="N29" i="102" s="1"/>
  <c r="P9" i="103"/>
  <c r="V9" i="103" s="1"/>
  <c r="U12" i="105"/>
  <c r="V12" i="105"/>
  <c r="R12" i="105"/>
  <c r="S11" i="105"/>
  <c r="T11" i="105" s="1"/>
  <c r="R11" i="105"/>
  <c r="U11" i="105"/>
  <c r="M17" i="102"/>
  <c r="N17" i="102" s="1"/>
  <c r="G31" i="52"/>
  <c r="F11" i="102"/>
  <c r="G12" i="102"/>
  <c r="F21" i="115"/>
  <c r="G11" i="106"/>
  <c r="R12" i="106"/>
  <c r="H68" i="106"/>
  <c r="R59" i="106"/>
  <c r="G59" i="106" s="1"/>
  <c r="G58" i="106" s="1"/>
  <c r="R8" i="106"/>
  <c r="H65" i="106"/>
  <c r="R56" i="106"/>
  <c r="G56" i="106" s="1"/>
  <c r="G55" i="106" s="1"/>
  <c r="G52" i="106" s="1"/>
  <c r="F9" i="52"/>
  <c r="G9" i="52" s="1"/>
  <c r="G10" i="52"/>
  <c r="R5" i="103"/>
  <c r="M11" i="103"/>
  <c r="U27" i="105"/>
  <c r="V27" i="105"/>
  <c r="V5" i="105"/>
  <c r="R27" i="105"/>
  <c r="S27" i="105"/>
  <c r="T27" i="105" s="1"/>
  <c r="U26" i="105"/>
  <c r="S18" i="105"/>
  <c r="T18" i="105" s="1"/>
  <c r="R18" i="105"/>
  <c r="U18" i="105"/>
  <c r="U15" i="105"/>
  <c r="R15" i="105"/>
  <c r="U13" i="105"/>
  <c r="Q13" i="105"/>
  <c r="V9" i="105"/>
  <c r="Q15" i="105"/>
  <c r="U9" i="105"/>
  <c r="V18" i="105"/>
  <c r="S9" i="105"/>
  <c r="T9" i="105" s="1"/>
  <c r="R13" i="105"/>
  <c r="S15" i="105"/>
  <c r="T15" i="105" s="1"/>
  <c r="Q9" i="105"/>
  <c r="S26" i="105"/>
  <c r="T26" i="105" s="1"/>
  <c r="V26" i="105"/>
  <c r="R16" i="105"/>
  <c r="S16" i="105"/>
  <c r="T16" i="105" s="1"/>
  <c r="V5" i="103"/>
  <c r="P6" i="103"/>
  <c r="S6" i="103" s="1"/>
  <c r="T6" i="103" s="1"/>
  <c r="V24" i="105"/>
  <c r="Q24" i="105"/>
  <c r="R24" i="105"/>
  <c r="S24" i="105"/>
  <c r="T24" i="105" s="1"/>
  <c r="U24" i="105"/>
  <c r="Q8" i="105"/>
  <c r="S8" i="105"/>
  <c r="T8" i="105" s="1"/>
  <c r="U8" i="105"/>
  <c r="R8" i="105"/>
  <c r="V8" i="105"/>
  <c r="Q23" i="105"/>
  <c r="V23" i="105"/>
  <c r="U23" i="105"/>
  <c r="R23" i="105"/>
  <c r="Q7" i="105"/>
  <c r="R7" i="105"/>
  <c r="V7" i="105"/>
  <c r="U7" i="105"/>
  <c r="V13" i="105"/>
  <c r="Q16" i="105"/>
  <c r="P22" i="105"/>
  <c r="R22" i="105" s="1"/>
  <c r="P19" i="105"/>
  <c r="P28" i="105"/>
  <c r="S28" i="105" s="1"/>
  <c r="T28" i="105" s="1"/>
  <c r="S23" i="105"/>
  <c r="T23" i="105" s="1"/>
  <c r="S21" i="105"/>
  <c r="T21" i="105" s="1"/>
  <c r="R21" i="105"/>
  <c r="S7" i="105"/>
  <c r="T7" i="105" s="1"/>
  <c r="Q6" i="105"/>
  <c r="U6" i="105"/>
  <c r="V6" i="105"/>
  <c r="S6" i="105"/>
  <c r="T6" i="105" s="1"/>
  <c r="R6" i="105"/>
  <c r="Q25" i="105"/>
  <c r="U25" i="105"/>
  <c r="S25" i="105"/>
  <c r="T25" i="105" s="1"/>
  <c r="R25" i="105"/>
  <c r="V25" i="105"/>
  <c r="U10" i="105"/>
  <c r="Q10" i="105"/>
  <c r="S10" i="105"/>
  <c r="T10" i="105" s="1"/>
  <c r="V10" i="105"/>
  <c r="R10" i="105"/>
  <c r="R28" i="105"/>
  <c r="Q5" i="105"/>
  <c r="S5" i="105"/>
  <c r="Q17" i="105"/>
  <c r="U17" i="105"/>
  <c r="R17" i="105"/>
  <c r="W12" i="105"/>
  <c r="X12" i="105" s="1"/>
  <c r="R5" i="105"/>
  <c r="S17" i="105"/>
  <c r="T17" i="105" s="1"/>
  <c r="V20" i="105"/>
  <c r="Q20" i="105"/>
  <c r="U20" i="105"/>
  <c r="R20" i="105"/>
  <c r="U21" i="105"/>
  <c r="Q22" i="105"/>
  <c r="W11" i="105"/>
  <c r="X11" i="105" s="1"/>
  <c r="W14" i="105"/>
  <c r="X14" i="105" s="1"/>
  <c r="U5" i="105"/>
  <c r="V21" i="105"/>
  <c r="R7" i="103"/>
  <c r="V8" i="103"/>
  <c r="R9" i="103"/>
  <c r="U9" i="103"/>
  <c r="U10" i="103"/>
  <c r="Q10" i="103"/>
  <c r="S10" i="103"/>
  <c r="T10" i="103" s="1"/>
  <c r="V10" i="103"/>
  <c r="R10" i="103"/>
  <c r="S8" i="103"/>
  <c r="T8" i="103" s="1"/>
  <c r="U7" i="103"/>
  <c r="Q7" i="103"/>
  <c r="S7" i="103"/>
  <c r="T7" i="103" s="1"/>
  <c r="U8" i="103"/>
  <c r="Q9" i="103"/>
  <c r="S9" i="103"/>
  <c r="T9" i="103" s="1"/>
  <c r="Q5" i="103"/>
  <c r="S5" i="103"/>
  <c r="R8" i="103"/>
  <c r="U5" i="103"/>
  <c r="F44" i="102"/>
  <c r="G45" i="102"/>
  <c r="M46" i="102"/>
  <c r="N48" i="102"/>
  <c r="G15" i="102"/>
  <c r="F14" i="102"/>
  <c r="F37" i="102"/>
  <c r="G38" i="102"/>
  <c r="N31" i="102"/>
  <c r="M30" i="102"/>
  <c r="N30" i="102" s="1"/>
  <c r="M15" i="102"/>
  <c r="N15" i="102" s="1"/>
  <c r="F39" i="102"/>
  <c r="G39" i="102" s="1"/>
  <c r="G40" i="102"/>
  <c r="G9" i="102"/>
  <c r="F8" i="102"/>
  <c r="F31" i="102"/>
  <c r="G32" i="102"/>
  <c r="M48" i="102"/>
  <c r="N49" i="102" s="1"/>
  <c r="N50" i="102"/>
  <c r="N25" i="102"/>
  <c r="M24" i="102"/>
  <c r="N24" i="102" s="1"/>
  <c r="Y90" i="92" l="1"/>
  <c r="Z90" i="92" s="1"/>
  <c r="Y91" i="92"/>
  <c r="Z91" i="92" s="1"/>
  <c r="Y92" i="92"/>
  <c r="Z92" i="92" s="1"/>
  <c r="Y31" i="115"/>
  <c r="Z31" i="115" s="1"/>
  <c r="AB31" i="115" s="1"/>
  <c r="F31" i="115" s="1"/>
  <c r="G31" i="115" s="1"/>
  <c r="H31" i="115" s="1"/>
  <c r="Y30" i="115"/>
  <c r="Z30" i="115" s="1"/>
  <c r="AB30" i="115" s="1"/>
  <c r="F30" i="115" s="1"/>
  <c r="G30" i="115" s="1"/>
  <c r="H30" i="115" s="1"/>
  <c r="Y27" i="115"/>
  <c r="F26" i="115" s="1"/>
  <c r="Y28" i="115"/>
  <c r="Z28" i="115" s="1"/>
  <c r="AA28" i="115" s="1"/>
  <c r="AB28" i="115" s="1"/>
  <c r="F28" i="115" s="1"/>
  <c r="R6" i="103"/>
  <c r="P29" i="105"/>
  <c r="G11" i="102"/>
  <c r="F10" i="102"/>
  <c r="G10" i="102" s="1"/>
  <c r="G21" i="115"/>
  <c r="H21" i="115" s="1"/>
  <c r="F12" i="115"/>
  <c r="Y89" i="92"/>
  <c r="Z89" i="92" s="1"/>
  <c r="AA89" i="92" s="1"/>
  <c r="R68" i="106"/>
  <c r="G68" i="106" s="1"/>
  <c r="G67" i="106" s="1"/>
  <c r="R65" i="106"/>
  <c r="G65" i="106" s="1"/>
  <c r="G64" i="106" s="1"/>
  <c r="G61" i="106" s="1"/>
  <c r="F8" i="52"/>
  <c r="G8" i="52" s="1"/>
  <c r="S11" i="103"/>
  <c r="P11" i="103"/>
  <c r="R11" i="103"/>
  <c r="W27" i="105"/>
  <c r="X27" i="105" s="1"/>
  <c r="Y27" i="105" s="1"/>
  <c r="W16" i="105"/>
  <c r="S22" i="105"/>
  <c r="T22" i="105" s="1"/>
  <c r="W23" i="105"/>
  <c r="X23" i="105" s="1"/>
  <c r="W18" i="105"/>
  <c r="X18" i="105" s="1"/>
  <c r="W15" i="105"/>
  <c r="X15" i="105" s="1"/>
  <c r="W13" i="105"/>
  <c r="X13" i="105" s="1"/>
  <c r="Y13" i="105" s="1"/>
  <c r="W9" i="105"/>
  <c r="X9" i="105" s="1"/>
  <c r="W7" i="105"/>
  <c r="X7" i="105" s="1"/>
  <c r="Y11" i="105"/>
  <c r="W8" i="105"/>
  <c r="X8" i="105" s="1"/>
  <c r="U28" i="105"/>
  <c r="W28" i="105" s="1"/>
  <c r="V28" i="105"/>
  <c r="Q28" i="105"/>
  <c r="U22" i="105"/>
  <c r="W26" i="105"/>
  <c r="X26" i="105" s="1"/>
  <c r="V22" i="105"/>
  <c r="X16" i="105"/>
  <c r="Q6" i="103"/>
  <c r="Q11" i="103" s="1"/>
  <c r="V6" i="103"/>
  <c r="V11" i="103" s="1"/>
  <c r="U6" i="103"/>
  <c r="W6" i="105"/>
  <c r="X6" i="105" s="1"/>
  <c r="Q19" i="105"/>
  <c r="Q29" i="105" s="1"/>
  <c r="V19" i="105"/>
  <c r="V29" i="105" s="1"/>
  <c r="S19" i="105"/>
  <c r="T19" i="105" s="1"/>
  <c r="R19" i="105"/>
  <c r="R29" i="105" s="1"/>
  <c r="U19" i="105"/>
  <c r="U29" i="105" s="1"/>
  <c r="W10" i="105"/>
  <c r="X10" i="105" s="1"/>
  <c r="Y9" i="105" s="1"/>
  <c r="W24" i="105"/>
  <c r="X24" i="105" s="1"/>
  <c r="W21" i="105"/>
  <c r="X21" i="105" s="1"/>
  <c r="W25" i="105"/>
  <c r="X25" i="105" s="1"/>
  <c r="Y25" i="105" s="1"/>
  <c r="W20" i="105"/>
  <c r="X20" i="105" s="1"/>
  <c r="T5" i="105"/>
  <c r="W17" i="105"/>
  <c r="X17" i="105" s="1"/>
  <c r="W10" i="103"/>
  <c r="X10" i="103" s="1"/>
  <c r="W8" i="103"/>
  <c r="X8" i="103" s="1"/>
  <c r="W9" i="103"/>
  <c r="X9" i="103" s="1"/>
  <c r="W7" i="103"/>
  <c r="X7" i="103" s="1"/>
  <c r="T5" i="103"/>
  <c r="T11" i="103" s="1"/>
  <c r="F43" i="102"/>
  <c r="G43" i="102" s="1"/>
  <c r="G44" i="102"/>
  <c r="F30" i="102"/>
  <c r="G30" i="102" s="1"/>
  <c r="G31" i="102"/>
  <c r="G37" i="102"/>
  <c r="F36" i="102"/>
  <c r="G36" i="102" s="1"/>
  <c r="N47" i="102"/>
  <c r="M45" i="102"/>
  <c r="N46" i="102" s="1"/>
  <c r="F7" i="102"/>
  <c r="G8" i="102"/>
  <c r="F13" i="102"/>
  <c r="G13" i="102" s="1"/>
  <c r="G14" i="102"/>
  <c r="Y100" i="92"/>
  <c r="Z100" i="92" s="1"/>
  <c r="Y99" i="92"/>
  <c r="Z99" i="92" s="1"/>
  <c r="AA91" i="92" l="1"/>
  <c r="G28" i="115"/>
  <c r="H28" i="115" s="1"/>
  <c r="F27" i="115"/>
  <c r="F8" i="115" s="1"/>
  <c r="T26" i="115"/>
  <c r="X26" i="115" s="1"/>
  <c r="G26" i="115"/>
  <c r="H26" i="115" s="1"/>
  <c r="W6" i="103"/>
  <c r="X6" i="103"/>
  <c r="Y17" i="105"/>
  <c r="T12" i="115"/>
  <c r="X12" i="115" s="1"/>
  <c r="G12" i="115"/>
  <c r="H12" i="115" s="1"/>
  <c r="AA99" i="92"/>
  <c r="G76" i="106"/>
  <c r="U11" i="103"/>
  <c r="S29" i="105"/>
  <c r="T29" i="105"/>
  <c r="Y15" i="105"/>
  <c r="X28" i="105"/>
  <c r="Y23" i="105"/>
  <c r="W22" i="105"/>
  <c r="X22" i="105" s="1"/>
  <c r="Y21" i="105" s="1"/>
  <c r="Y7" i="105"/>
  <c r="Y7" i="103"/>
  <c r="Y9" i="103"/>
  <c r="W19" i="105"/>
  <c r="X19" i="105" s="1"/>
  <c r="Y19" i="105" s="1"/>
  <c r="W5" i="105"/>
  <c r="W5" i="103"/>
  <c r="W11" i="103" s="1"/>
  <c r="G7" i="102"/>
  <c r="E15" i="117" l="1"/>
  <c r="T27" i="115"/>
  <c r="X27" i="115" s="1"/>
  <c r="G27" i="115"/>
  <c r="H27" i="115" s="1"/>
  <c r="G8" i="115"/>
  <c r="H8" i="115" s="1"/>
  <c r="F7" i="115"/>
  <c r="F6" i="115" s="1"/>
  <c r="R86" i="106"/>
  <c r="G86" i="106" s="1"/>
  <c r="G85" i="106" s="1"/>
  <c r="H95" i="106"/>
  <c r="R83" i="106"/>
  <c r="G83" i="106" s="1"/>
  <c r="G82" i="106" s="1"/>
  <c r="H92" i="106"/>
  <c r="G73" i="106"/>
  <c r="G70" i="106" s="1"/>
  <c r="W29" i="105"/>
  <c r="X5" i="105"/>
  <c r="X29" i="105" s="1"/>
  <c r="X5" i="103"/>
  <c r="X11" i="103" s="1"/>
  <c r="G79" i="106" l="1"/>
  <c r="I1" i="115"/>
  <c r="G7" i="115"/>
  <c r="H105" i="106"/>
  <c r="R95" i="106"/>
  <c r="G95" i="106" s="1"/>
  <c r="G94" i="106" s="1"/>
  <c r="H101" i="106"/>
  <c r="R92" i="106"/>
  <c r="G92" i="106" s="1"/>
  <c r="Y5" i="105"/>
  <c r="Y5" i="103"/>
  <c r="Y11" i="103" s="1"/>
  <c r="G91" i="106" l="1"/>
  <c r="F24" i="23"/>
  <c r="G24" i="23" s="1"/>
  <c r="H78" i="115"/>
  <c r="H87" i="115"/>
  <c r="H88" i="115"/>
  <c r="H92" i="115"/>
  <c r="H91" i="115"/>
  <c r="H89" i="115"/>
  <c r="H90" i="115"/>
  <c r="H7" i="115"/>
  <c r="G6" i="115"/>
  <c r="H6" i="115" s="1"/>
  <c r="H111" i="106"/>
  <c r="R101" i="106"/>
  <c r="G101" i="106" s="1"/>
  <c r="G100" i="106" s="1"/>
  <c r="H114" i="106"/>
  <c r="R114" i="106" s="1"/>
  <c r="G114" i="106" s="1"/>
  <c r="G113" i="106" s="1"/>
  <c r="R105" i="106"/>
  <c r="G105" i="106" s="1"/>
  <c r="G104" i="106" s="1"/>
  <c r="G88" i="106"/>
  <c r="K93" i="92"/>
  <c r="J13" i="92"/>
  <c r="K41" i="92"/>
  <c r="K39" i="92"/>
  <c r="K33" i="92"/>
  <c r="K25" i="92"/>
  <c r="K23" i="92"/>
  <c r="K17" i="92"/>
  <c r="K13" i="92"/>
  <c r="K11" i="92"/>
  <c r="K9" i="92"/>
  <c r="K7" i="92"/>
  <c r="I21" i="92"/>
  <c r="I15" i="92"/>
  <c r="L15" i="92"/>
  <c r="I16" i="92"/>
  <c r="L16" i="92"/>
  <c r="F17" i="92"/>
  <c r="J17" i="92"/>
  <c r="L17" i="92"/>
  <c r="I18" i="92"/>
  <c r="J18" i="92"/>
  <c r="L18" i="92"/>
  <c r="I19" i="92"/>
  <c r="L19" i="92"/>
  <c r="I20" i="92"/>
  <c r="L20" i="92"/>
  <c r="I13" i="92"/>
  <c r="I11" i="92"/>
  <c r="I5" i="92"/>
  <c r="I12" i="92"/>
  <c r="I14" i="92"/>
  <c r="I22" i="92"/>
  <c r="I23" i="92"/>
  <c r="I24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40" i="92"/>
  <c r="I41" i="92"/>
  <c r="I42" i="92"/>
  <c r="I93" i="92"/>
  <c r="I94" i="92"/>
  <c r="I95" i="92"/>
  <c r="I96" i="92"/>
  <c r="I97" i="92"/>
  <c r="I98" i="92"/>
  <c r="I7" i="92"/>
  <c r="I8" i="92"/>
  <c r="I9" i="92"/>
  <c r="I10" i="92"/>
  <c r="I6" i="92"/>
  <c r="L7" i="92"/>
  <c r="L8" i="92"/>
  <c r="L9" i="92"/>
  <c r="L10" i="92"/>
  <c r="L11" i="92"/>
  <c r="L12" i="92"/>
  <c r="L13" i="92"/>
  <c r="L14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93" i="92"/>
  <c r="L94" i="92"/>
  <c r="L95" i="92"/>
  <c r="L96" i="92"/>
  <c r="U411" i="97" s="1"/>
  <c r="L97" i="92"/>
  <c r="L98" i="92"/>
  <c r="J7" i="92"/>
  <c r="J8" i="92"/>
  <c r="J9" i="92"/>
  <c r="J10" i="92"/>
  <c r="J11" i="92"/>
  <c r="J12" i="92"/>
  <c r="J21" i="92"/>
  <c r="J22" i="92"/>
  <c r="J23" i="92"/>
  <c r="J24" i="92"/>
  <c r="J25" i="92"/>
  <c r="J26" i="92"/>
  <c r="J27" i="92"/>
  <c r="J28" i="92"/>
  <c r="J31" i="92"/>
  <c r="J32" i="92"/>
  <c r="J33" i="92"/>
  <c r="J34" i="92"/>
  <c r="J35" i="92"/>
  <c r="J36" i="92"/>
  <c r="J39" i="92"/>
  <c r="J40" i="92"/>
  <c r="J41" i="92"/>
  <c r="J42" i="92"/>
  <c r="J93" i="92"/>
  <c r="J94" i="92"/>
  <c r="J96" i="92"/>
  <c r="J97" i="92"/>
  <c r="J98" i="92"/>
  <c r="L6" i="92"/>
  <c r="L5" i="92"/>
  <c r="J5" i="92"/>
  <c r="J6" i="92"/>
  <c r="M6" i="92" l="1"/>
  <c r="O453" i="97"/>
  <c r="U453" i="97" s="1"/>
  <c r="P5" i="92"/>
  <c r="O452" i="97"/>
  <c r="U452" i="97" s="1"/>
  <c r="O488" i="97"/>
  <c r="U488" i="97" s="1"/>
  <c r="O476" i="97"/>
  <c r="U476" i="97" s="1"/>
  <c r="U344" i="97"/>
  <c r="M11" i="92"/>
  <c r="O458" i="97"/>
  <c r="U458" i="97" s="1"/>
  <c r="U326" i="97"/>
  <c r="O464" i="97"/>
  <c r="U464" i="97" s="1"/>
  <c r="O489" i="97"/>
  <c r="U489" i="97" s="1"/>
  <c r="O42" i="92"/>
  <c r="O475" i="97"/>
  <c r="U475" i="97" s="1"/>
  <c r="O457" i="97"/>
  <c r="U457" i="97" s="1"/>
  <c r="U325" i="97"/>
  <c r="O456" i="97"/>
  <c r="U456" i="97" s="1"/>
  <c r="U324" i="97"/>
  <c r="M12" i="92"/>
  <c r="O459" i="97"/>
  <c r="U459" i="97" s="1"/>
  <c r="U327" i="97"/>
  <c r="O485" i="97"/>
  <c r="U485" i="97" s="1"/>
  <c r="O38" i="92"/>
  <c r="U353" i="97"/>
  <c r="O473" i="97"/>
  <c r="U473" i="97" s="1"/>
  <c r="O455" i="97"/>
  <c r="U455" i="97" s="1"/>
  <c r="O463" i="97"/>
  <c r="U463" i="97" s="1"/>
  <c r="U331" i="97"/>
  <c r="O484" i="97"/>
  <c r="U484" i="97" s="1"/>
  <c r="U352" i="97"/>
  <c r="O472" i="97"/>
  <c r="U472" i="97" s="1"/>
  <c r="O454" i="97"/>
  <c r="U454" i="97" s="1"/>
  <c r="O474" i="97"/>
  <c r="U474" i="97" s="1"/>
  <c r="U342" i="97"/>
  <c r="O483" i="97"/>
  <c r="U483" i="97" s="1"/>
  <c r="O36" i="92"/>
  <c r="U351" i="97"/>
  <c r="O471" i="97"/>
  <c r="U471" i="97" s="1"/>
  <c r="U339" i="97"/>
  <c r="O467" i="97"/>
  <c r="U467" i="97" s="1"/>
  <c r="O462" i="97"/>
  <c r="U462" i="97" s="1"/>
  <c r="O544" i="97"/>
  <c r="U544" i="97" s="1"/>
  <c r="U412" i="97"/>
  <c r="O482" i="97"/>
  <c r="U482" i="97" s="1"/>
  <c r="U350" i="97"/>
  <c r="O470" i="97"/>
  <c r="U470" i="97" s="1"/>
  <c r="O477" i="97"/>
  <c r="U477" i="97" s="1"/>
  <c r="U345" i="97"/>
  <c r="O487" i="97"/>
  <c r="U487" i="97" s="1"/>
  <c r="O40" i="92"/>
  <c r="O543" i="97"/>
  <c r="U543" i="97" s="1"/>
  <c r="M34" i="92"/>
  <c r="S34" i="92" s="1"/>
  <c r="O481" i="97"/>
  <c r="U481" i="97" s="1"/>
  <c r="O34" i="92"/>
  <c r="U349" i="97"/>
  <c r="O469" i="97"/>
  <c r="U469" i="97" s="1"/>
  <c r="U337" i="97"/>
  <c r="O466" i="97"/>
  <c r="U466" i="97" s="1"/>
  <c r="O545" i="97"/>
  <c r="U545" i="97" s="1"/>
  <c r="O98" i="92"/>
  <c r="O542" i="97"/>
  <c r="U542" i="97" s="1"/>
  <c r="O95" i="92"/>
  <c r="M33" i="92"/>
  <c r="W33" i="92" s="1"/>
  <c r="O480" i="97"/>
  <c r="U480" i="97" s="1"/>
  <c r="U348" i="97"/>
  <c r="O468" i="97"/>
  <c r="U468" i="97" s="1"/>
  <c r="U336" i="97"/>
  <c r="O541" i="97"/>
  <c r="U541" i="97" s="1"/>
  <c r="O94" i="92"/>
  <c r="O479" i="97"/>
  <c r="U479" i="97" s="1"/>
  <c r="O32" i="92"/>
  <c r="U347" i="97"/>
  <c r="O461" i="97"/>
  <c r="U461" i="97" s="1"/>
  <c r="U329" i="97"/>
  <c r="O465" i="97"/>
  <c r="U465" i="97" s="1"/>
  <c r="U333" i="97"/>
  <c r="O486" i="97"/>
  <c r="U486" i="97" s="1"/>
  <c r="U354" i="97"/>
  <c r="O540" i="97"/>
  <c r="U540" i="97" s="1"/>
  <c r="U408" i="97"/>
  <c r="O478" i="97"/>
  <c r="U478" i="97" s="1"/>
  <c r="U346" i="97"/>
  <c r="O460" i="97"/>
  <c r="U460" i="97" s="1"/>
  <c r="U328" i="97"/>
  <c r="U102" i="97"/>
  <c r="U104" i="97"/>
  <c r="U103" i="97"/>
  <c r="U101" i="97"/>
  <c r="U100" i="97"/>
  <c r="U99" i="97"/>
  <c r="J103" i="92"/>
  <c r="W240" i="97" s="1"/>
  <c r="K103" i="92"/>
  <c r="W307" i="97" s="1"/>
  <c r="O581" i="97"/>
  <c r="U581" i="97" s="1"/>
  <c r="U320" i="97"/>
  <c r="P6" i="92"/>
  <c r="O582" i="97"/>
  <c r="U582" i="97" s="1"/>
  <c r="U321" i="97"/>
  <c r="U388" i="97"/>
  <c r="U382" i="97"/>
  <c r="U372" i="97"/>
  <c r="U360" i="97"/>
  <c r="U613" i="97"/>
  <c r="M39" i="92"/>
  <c r="O609" i="97"/>
  <c r="U609" i="97" s="1"/>
  <c r="M21" i="92"/>
  <c r="O597" i="97"/>
  <c r="U597" i="97" s="1"/>
  <c r="M18" i="92"/>
  <c r="O594" i="97"/>
  <c r="U594" i="97" s="1"/>
  <c r="U399" i="97"/>
  <c r="U620" i="97"/>
  <c r="U387" i="97"/>
  <c r="U375" i="97"/>
  <c r="U618" i="97"/>
  <c r="U365" i="97"/>
  <c r="P38" i="92"/>
  <c r="O608" i="97"/>
  <c r="U608" i="97" s="1"/>
  <c r="P26" i="92"/>
  <c r="O602" i="97"/>
  <c r="U602" i="97" s="1"/>
  <c r="U341" i="97"/>
  <c r="M95" i="92"/>
  <c r="R95" i="92" s="1"/>
  <c r="U410" i="97"/>
  <c r="U392" i="97"/>
  <c r="U380" i="97"/>
  <c r="U370" i="97"/>
  <c r="U358" i="97"/>
  <c r="M31" i="92"/>
  <c r="S31" i="92" s="1"/>
  <c r="P13" i="92"/>
  <c r="O589" i="97"/>
  <c r="U589" i="97" s="1"/>
  <c r="M98" i="92"/>
  <c r="T98" i="92" s="1"/>
  <c r="U413" i="97"/>
  <c r="U395" i="97"/>
  <c r="U389" i="97"/>
  <c r="U383" i="97"/>
  <c r="U373" i="97"/>
  <c r="U367" i="97"/>
  <c r="U361" i="97"/>
  <c r="U614" i="97"/>
  <c r="M40" i="92"/>
  <c r="U355" i="97"/>
  <c r="O610" i="97"/>
  <c r="U610" i="97" s="1"/>
  <c r="M28" i="92"/>
  <c r="U343" i="97"/>
  <c r="O604" i="97"/>
  <c r="U604" i="97" s="1"/>
  <c r="M22" i="92"/>
  <c r="O598" i="97"/>
  <c r="U598" i="97" s="1"/>
  <c r="M10" i="92"/>
  <c r="S10" i="92" s="1"/>
  <c r="O586" i="97"/>
  <c r="U586" i="97" s="1"/>
  <c r="M97" i="92"/>
  <c r="T97" i="92" s="1"/>
  <c r="U394" i="97"/>
  <c r="U376" i="97"/>
  <c r="U366" i="97"/>
  <c r="M27" i="92"/>
  <c r="O603" i="97"/>
  <c r="U603" i="97" s="1"/>
  <c r="M96" i="92"/>
  <c r="S96" i="92" s="1"/>
  <c r="P94" i="92"/>
  <c r="U409" i="97"/>
  <c r="O622" i="97"/>
  <c r="U622" i="97" s="1"/>
  <c r="U397" i="97"/>
  <c r="U391" i="97"/>
  <c r="U385" i="97"/>
  <c r="U379" i="97"/>
  <c r="U369" i="97"/>
  <c r="U616" i="97"/>
  <c r="U363" i="97"/>
  <c r="M42" i="92"/>
  <c r="O612" i="97"/>
  <c r="U612" i="97" s="1"/>
  <c r="U357" i="97"/>
  <c r="M36" i="92"/>
  <c r="M30" i="92"/>
  <c r="O606" i="97"/>
  <c r="U606" i="97" s="1"/>
  <c r="M24" i="92"/>
  <c r="O600" i="97"/>
  <c r="U600" i="97" s="1"/>
  <c r="P12" i="92"/>
  <c r="R12" i="92" s="1"/>
  <c r="O588" i="97"/>
  <c r="U588" i="97" s="1"/>
  <c r="U332" i="97"/>
  <c r="O593" i="97"/>
  <c r="U593" i="97" s="1"/>
  <c r="P9" i="92"/>
  <c r="O585" i="97"/>
  <c r="U585" i="97" s="1"/>
  <c r="M16" i="92"/>
  <c r="O592" i="97"/>
  <c r="U592" i="97" s="1"/>
  <c r="U393" i="97"/>
  <c r="U381" i="97"/>
  <c r="U371" i="97"/>
  <c r="U359" i="97"/>
  <c r="M32" i="92"/>
  <c r="T32" i="92" s="1"/>
  <c r="M14" i="92"/>
  <c r="O590" i="97"/>
  <c r="U590" i="97" s="1"/>
  <c r="M8" i="92"/>
  <c r="O584" i="97"/>
  <c r="U584" i="97" s="1"/>
  <c r="U323" i="97"/>
  <c r="U398" i="97"/>
  <c r="U619" i="97"/>
  <c r="U386" i="97"/>
  <c r="U374" i="97"/>
  <c r="U364" i="97"/>
  <c r="U617" i="97"/>
  <c r="P37" i="92"/>
  <c r="O607" i="97"/>
  <c r="U607" i="97" s="1"/>
  <c r="M25" i="92"/>
  <c r="O601" i="97"/>
  <c r="U601" i="97" s="1"/>
  <c r="U340" i="97"/>
  <c r="M7" i="92"/>
  <c r="O583" i="97"/>
  <c r="U583" i="97" s="1"/>
  <c r="U322" i="97"/>
  <c r="M20" i="92"/>
  <c r="R20" i="92" s="1"/>
  <c r="O596" i="97"/>
  <c r="U596" i="97" s="1"/>
  <c r="U335" i="97"/>
  <c r="P15" i="92"/>
  <c r="O591" i="97"/>
  <c r="U591" i="97" s="1"/>
  <c r="U330" i="97"/>
  <c r="M93" i="92"/>
  <c r="O621" i="97"/>
  <c r="U621" i="97" s="1"/>
  <c r="U396" i="97"/>
  <c r="U390" i="97"/>
  <c r="U384" i="97"/>
  <c r="U378" i="97"/>
  <c r="U368" i="97"/>
  <c r="U615" i="97"/>
  <c r="U362" i="97"/>
  <c r="P41" i="92"/>
  <c r="O611" i="97"/>
  <c r="U611" i="97" s="1"/>
  <c r="U356" i="97"/>
  <c r="M35" i="92"/>
  <c r="R35" i="92" s="1"/>
  <c r="M29" i="92"/>
  <c r="O605" i="97"/>
  <c r="U605" i="97" s="1"/>
  <c r="M23" i="92"/>
  <c r="R23" i="92" s="1"/>
  <c r="U338" i="97"/>
  <c r="O599" i="97"/>
  <c r="U599" i="97" s="1"/>
  <c r="P11" i="92"/>
  <c r="O587" i="97"/>
  <c r="U587" i="97" s="1"/>
  <c r="M19" i="92"/>
  <c r="O595" i="97"/>
  <c r="U595" i="97" s="1"/>
  <c r="U334" i="97"/>
  <c r="E17" i="92"/>
  <c r="S23" i="97"/>
  <c r="U23" i="97" s="1"/>
  <c r="V107" i="97" s="1"/>
  <c r="I17" i="92"/>
  <c r="M17" i="92"/>
  <c r="R17" i="92" s="1"/>
  <c r="M5" i="92"/>
  <c r="S5" i="92" s="1"/>
  <c r="G97" i="106"/>
  <c r="R111" i="106"/>
  <c r="G111" i="106" s="1"/>
  <c r="H120" i="106"/>
  <c r="R120" i="106" s="1"/>
  <c r="G120" i="106" s="1"/>
  <c r="G119" i="106" s="1"/>
  <c r="G116" i="106" s="1"/>
  <c r="M94" i="92"/>
  <c r="P30" i="92"/>
  <c r="M26" i="92"/>
  <c r="R26" i="92" s="1"/>
  <c r="P22" i="92"/>
  <c r="P39" i="92"/>
  <c r="M41" i="92"/>
  <c r="M13" i="92"/>
  <c r="M9" i="92"/>
  <c r="R9" i="92" s="1"/>
  <c r="P8" i="92"/>
  <c r="M37" i="92"/>
  <c r="R37" i="92" s="1"/>
  <c r="P7" i="92"/>
  <c r="P29" i="92"/>
  <c r="P25" i="92"/>
  <c r="P21" i="92"/>
  <c r="P17" i="92"/>
  <c r="P40" i="92"/>
  <c r="M38" i="92"/>
  <c r="P18" i="92"/>
  <c r="W18" i="92" s="1"/>
  <c r="P14" i="92"/>
  <c r="P10" i="92"/>
  <c r="P28" i="92"/>
  <c r="P24" i="92"/>
  <c r="P20" i="92"/>
  <c r="P16" i="92"/>
  <c r="M15" i="92"/>
  <c r="P27" i="92"/>
  <c r="R27" i="92" s="1"/>
  <c r="P23" i="92"/>
  <c r="P19" i="92"/>
  <c r="P42" i="92"/>
  <c r="W42" i="92" s="1"/>
  <c r="P93" i="92"/>
  <c r="T93" i="92" s="1"/>
  <c r="K821" i="97"/>
  <c r="E34" i="117" s="1"/>
  <c r="I822" i="97"/>
  <c r="V822" i="97" s="1"/>
  <c r="H827" i="97"/>
  <c r="H820" i="97"/>
  <c r="J9" i="97"/>
  <c r="E21" i="117" s="1"/>
  <c r="G51" i="23"/>
  <c r="G50" i="23"/>
  <c r="G36" i="23"/>
  <c r="U319" i="97" l="1"/>
  <c r="R29" i="92"/>
  <c r="X25" i="92"/>
  <c r="W22" i="92"/>
  <c r="T21" i="92"/>
  <c r="R15" i="92"/>
  <c r="S16" i="92"/>
  <c r="S14" i="92"/>
  <c r="S7" i="92"/>
  <c r="G10" i="106"/>
  <c r="G9" i="106" s="1"/>
  <c r="G6" i="106" s="1"/>
  <c r="U10" i="97"/>
  <c r="X36" i="92"/>
  <c r="W98" i="92"/>
  <c r="S98" i="92"/>
  <c r="S97" i="92"/>
  <c r="S94" i="92"/>
  <c r="X93" i="92"/>
  <c r="X42" i="92"/>
  <c r="R40" i="92"/>
  <c r="W39" i="92"/>
  <c r="S39" i="92"/>
  <c r="T36" i="92"/>
  <c r="S33" i="92"/>
  <c r="W32" i="92"/>
  <c r="W30" i="92"/>
  <c r="S28" i="92"/>
  <c r="X27" i="92"/>
  <c r="S27" i="92"/>
  <c r="S25" i="92"/>
  <c r="S24" i="92"/>
  <c r="X22" i="92"/>
  <c r="X21" i="92"/>
  <c r="T19" i="92"/>
  <c r="S18" i="92"/>
  <c r="T16" i="92"/>
  <c r="S12" i="92"/>
  <c r="S11" i="92"/>
  <c r="S8" i="92"/>
  <c r="R5" i="92"/>
  <c r="R38" i="92"/>
  <c r="S17" i="92"/>
  <c r="W17" i="92"/>
  <c r="X17" i="92"/>
  <c r="T17" i="92"/>
  <c r="W23" i="92"/>
  <c r="S36" i="92"/>
  <c r="T22" i="92"/>
  <c r="R39" i="92"/>
  <c r="S21" i="92"/>
  <c r="S38" i="92"/>
  <c r="X15" i="92"/>
  <c r="T40" i="92"/>
  <c r="R34" i="92"/>
  <c r="X41" i="92"/>
  <c r="X16" i="92"/>
  <c r="W93" i="92"/>
  <c r="W95" i="92"/>
  <c r="X11" i="92"/>
  <c r="T23" i="92"/>
  <c r="S22" i="92"/>
  <c r="X37" i="92"/>
  <c r="S15" i="92"/>
  <c r="W40" i="92"/>
  <c r="W41" i="92"/>
  <c r="S42" i="92"/>
  <c r="T18" i="92"/>
  <c r="X96" i="92"/>
  <c r="W11" i="92"/>
  <c r="W19" i="92"/>
  <c r="W37" i="92"/>
  <c r="X9" i="92"/>
  <c r="R24" i="92"/>
  <c r="S41" i="92"/>
  <c r="W16" i="92"/>
  <c r="S93" i="92"/>
  <c r="W31" i="92"/>
  <c r="R96" i="92"/>
  <c r="T95" i="92"/>
  <c r="T14" i="92"/>
  <c r="T96" i="92"/>
  <c r="T11" i="92"/>
  <c r="S23" i="92"/>
  <c r="T7" i="92"/>
  <c r="R22" i="92"/>
  <c r="T37" i="92"/>
  <c r="T26" i="92"/>
  <c r="W9" i="92"/>
  <c r="R28" i="92"/>
  <c r="X20" i="92"/>
  <c r="X40" i="92"/>
  <c r="V547" i="97"/>
  <c r="U451" i="97"/>
  <c r="X12" i="92"/>
  <c r="X95" i="92"/>
  <c r="W96" i="92"/>
  <c r="R13" i="92"/>
  <c r="S13" i="92"/>
  <c r="X13" i="92"/>
  <c r="W13" i="92"/>
  <c r="T13" i="92"/>
  <c r="W35" i="92"/>
  <c r="W24" i="92"/>
  <c r="X7" i="92"/>
  <c r="R36" i="92"/>
  <c r="S37" i="92"/>
  <c r="R93" i="92"/>
  <c r="T9" i="92"/>
  <c r="T20" i="92"/>
  <c r="S40" i="92"/>
  <c r="R25" i="92"/>
  <c r="T29" i="92"/>
  <c r="T31" i="92"/>
  <c r="W12" i="92"/>
  <c r="S95" i="92"/>
  <c r="X14" i="92"/>
  <c r="R11" i="92"/>
  <c r="X23" i="92"/>
  <c r="R19" i="92"/>
  <c r="R16" i="92"/>
  <c r="X24" i="92"/>
  <c r="W7" i="92"/>
  <c r="R41" i="92"/>
  <c r="X19" i="92"/>
  <c r="R31" i="92"/>
  <c r="X26" i="92"/>
  <c r="S9" i="92"/>
  <c r="W20" i="92"/>
  <c r="X10" i="92"/>
  <c r="R94" i="92"/>
  <c r="T28" i="92"/>
  <c r="X29" i="92"/>
  <c r="X30" i="92"/>
  <c r="X31" i="92"/>
  <c r="T12" i="92"/>
  <c r="W14" i="92"/>
  <c r="X35" i="92"/>
  <c r="T24" i="92"/>
  <c r="R42" i="92"/>
  <c r="S19" i="92"/>
  <c r="X8" i="92"/>
  <c r="R98" i="92"/>
  <c r="W26" i="92"/>
  <c r="S20" i="92"/>
  <c r="W10" i="92"/>
  <c r="R10" i="92"/>
  <c r="X28" i="92"/>
  <c r="W29" i="92"/>
  <c r="T30" i="92"/>
  <c r="R33" i="92"/>
  <c r="M103" i="92"/>
  <c r="M214" i="92" s="1"/>
  <c r="R18" i="92"/>
  <c r="T35" i="92"/>
  <c r="R8" i="92"/>
  <c r="W25" i="92"/>
  <c r="T8" i="92"/>
  <c r="X39" i="92"/>
  <c r="S26" i="92"/>
  <c r="T27" i="92"/>
  <c r="T10" i="92"/>
  <c r="T94" i="92"/>
  <c r="W34" i="92"/>
  <c r="R14" i="92"/>
  <c r="R30" i="92"/>
  <c r="S35" i="92"/>
  <c r="R21" i="92"/>
  <c r="R97" i="92"/>
  <c r="T25" i="92"/>
  <c r="W8" i="92"/>
  <c r="T39" i="92"/>
  <c r="X38" i="92"/>
  <c r="W27" i="92"/>
  <c r="X97" i="92"/>
  <c r="W28" i="92"/>
  <c r="S29" i="92"/>
  <c r="R7" i="92"/>
  <c r="X94" i="92"/>
  <c r="S32" i="92"/>
  <c r="X33" i="92"/>
  <c r="T34" i="92"/>
  <c r="R6" i="92"/>
  <c r="S6" i="92"/>
  <c r="W36" i="92"/>
  <c r="W21" i="92"/>
  <c r="W38" i="92"/>
  <c r="X34" i="92"/>
  <c r="T15" i="92"/>
  <c r="W97" i="92"/>
  <c r="T42" i="92"/>
  <c r="S30" i="92"/>
  <c r="W94" i="92"/>
  <c r="T33" i="92"/>
  <c r="X98" i="92"/>
  <c r="O103" i="92"/>
  <c r="T38" i="92"/>
  <c r="W15" i="92"/>
  <c r="T41" i="92"/>
  <c r="X18" i="92"/>
  <c r="R32" i="92"/>
  <c r="X32" i="92"/>
  <c r="V415" i="97"/>
  <c r="U580" i="97"/>
  <c r="V622" i="97"/>
  <c r="J214" i="92"/>
  <c r="V148" i="97" s="1"/>
  <c r="K214" i="92"/>
  <c r="V274" i="97" s="1"/>
  <c r="I103" i="92"/>
  <c r="P103" i="92"/>
  <c r="F13" i="112"/>
  <c r="G13" i="112" s="1"/>
  <c r="H13" i="112" s="1"/>
  <c r="F11" i="112"/>
  <c r="G11" i="112" s="1"/>
  <c r="H11" i="112" s="1"/>
  <c r="I821" i="97"/>
  <c r="I820" i="97" s="1"/>
  <c r="I818" i="97" s="1"/>
  <c r="E822" i="97"/>
  <c r="K820" i="97"/>
  <c r="L15" i="52"/>
  <c r="M15" i="52" s="1"/>
  <c r="N15" i="52" s="1"/>
  <c r="M14" i="119"/>
  <c r="N14" i="119" s="1"/>
  <c r="O14" i="119" s="1"/>
  <c r="F665" i="97"/>
  <c r="G665" i="97" s="1"/>
  <c r="I758" i="97"/>
  <c r="G110" i="106"/>
  <c r="G107" i="106" s="1"/>
  <c r="G40" i="23"/>
  <c r="G41" i="23"/>
  <c r="G37" i="23"/>
  <c r="G38" i="23"/>
  <c r="G45" i="23"/>
  <c r="O19" i="23" l="1"/>
  <c r="O214" i="92"/>
  <c r="H10" i="97"/>
  <c r="L10" i="52" s="1"/>
  <c r="M10" i="52" s="1"/>
  <c r="N10" i="52" s="1"/>
  <c r="M19" i="23"/>
  <c r="I214" i="92"/>
  <c r="V10" i="97" s="1"/>
  <c r="H759" i="97"/>
  <c r="O646" i="97"/>
  <c r="O651" i="97"/>
  <c r="U651" i="97" s="1"/>
  <c r="O650" i="97"/>
  <c r="U650" i="97" s="1"/>
  <c r="W415" i="97"/>
  <c r="R103" i="92"/>
  <c r="W547" i="97"/>
  <c r="W107" i="97"/>
  <c r="U147" i="97"/>
  <c r="W622" i="97"/>
  <c r="V319" i="97"/>
  <c r="P214" i="92"/>
  <c r="E25" i="23" s="1"/>
  <c r="F9" i="112"/>
  <c r="G9" i="112" s="1"/>
  <c r="H9" i="112" s="1"/>
  <c r="S103" i="92"/>
  <c r="X103" i="92"/>
  <c r="W103" i="92"/>
  <c r="U103" i="92"/>
  <c r="V651" i="97" s="1"/>
  <c r="T103" i="92"/>
  <c r="F12" i="112"/>
  <c r="G12" i="112" s="1"/>
  <c r="H12" i="112" s="1"/>
  <c r="F21" i="52"/>
  <c r="G21" i="52" s="1"/>
  <c r="L50" i="52"/>
  <c r="E821" i="97"/>
  <c r="F822" i="97"/>
  <c r="G822" i="97" s="1"/>
  <c r="I817" i="97"/>
  <c r="I795" i="97" s="1"/>
  <c r="E818" i="97"/>
  <c r="F771" i="97"/>
  <c r="G771" i="97" s="1"/>
  <c r="L34" i="52"/>
  <c r="Y6" i="92"/>
  <c r="Z6" i="92" s="1"/>
  <c r="R10" i="106"/>
  <c r="K9" i="97"/>
  <c r="E28" i="117" s="1"/>
  <c r="E27" i="117" s="1"/>
  <c r="F27" i="117" s="1"/>
  <c r="Y8" i="92"/>
  <c r="Z8" i="92" s="1"/>
  <c r="Y95" i="92"/>
  <c r="Y29" i="92"/>
  <c r="Z29" i="92" s="1"/>
  <c r="Y97" i="92"/>
  <c r="Z97" i="92" s="1"/>
  <c r="Y31" i="92"/>
  <c r="Z31" i="92" s="1"/>
  <c r="Y20" i="92"/>
  <c r="Z20" i="92" s="1"/>
  <c r="Y19" i="92"/>
  <c r="Z19" i="92" s="1"/>
  <c r="Y16" i="92"/>
  <c r="Z16" i="92" s="1"/>
  <c r="Y40" i="92"/>
  <c r="Z40" i="92" s="1"/>
  <c r="Y24" i="92"/>
  <c r="Z24" i="92" s="1"/>
  <c r="Y23" i="92"/>
  <c r="Z23" i="92" s="1"/>
  <c r="Y27" i="92"/>
  <c r="Z27" i="92" s="1"/>
  <c r="Y41" i="92"/>
  <c r="Z41" i="92" s="1"/>
  <c r="Y94" i="92"/>
  <c r="Z94" i="92" s="1"/>
  <c r="Y38" i="92"/>
  <c r="Z38" i="92" s="1"/>
  <c r="Y9" i="92"/>
  <c r="Z9" i="92" s="1"/>
  <c r="Y32" i="92"/>
  <c r="Z32" i="92" s="1"/>
  <c r="Y28" i="92"/>
  <c r="Z28" i="92" s="1"/>
  <c r="Y30" i="92"/>
  <c r="Z30" i="92" s="1"/>
  <c r="Y96" i="92"/>
  <c r="Z96" i="92" s="1"/>
  <c r="Y42" i="92"/>
  <c r="Z42" i="92" s="1"/>
  <c r="Y36" i="92"/>
  <c r="Z36" i="92" s="1"/>
  <c r="Y34" i="92"/>
  <c r="Z34" i="92" s="1"/>
  <c r="Y22" i="92"/>
  <c r="Z22" i="92" s="1"/>
  <c r="Y26" i="92"/>
  <c r="Z26" i="92" s="1"/>
  <c r="Y18" i="92"/>
  <c r="Z18" i="92" s="1"/>
  <c r="Y17" i="92"/>
  <c r="Z17" i="92" s="1"/>
  <c r="Y15" i="92"/>
  <c r="Z15" i="92" s="1"/>
  <c r="Y12" i="92"/>
  <c r="Z12" i="92" s="1"/>
  <c r="Y35" i="92"/>
  <c r="Z35" i="92" s="1"/>
  <c r="Y14" i="92"/>
  <c r="Z14" i="92" s="1"/>
  <c r="Y10" i="92"/>
  <c r="Z10" i="92" s="1"/>
  <c r="Y93" i="92"/>
  <c r="Z93" i="92" s="1"/>
  <c r="Y11" i="92"/>
  <c r="Z11" i="92" s="1"/>
  <c r="Y98" i="92"/>
  <c r="Z98" i="92" s="1"/>
  <c r="Y39" i="92"/>
  <c r="Z39" i="92" s="1"/>
  <c r="Y25" i="92"/>
  <c r="Z25" i="92" s="1"/>
  <c r="Y13" i="92"/>
  <c r="Z13" i="92" s="1"/>
  <c r="Y33" i="92"/>
  <c r="Z33" i="92" s="1"/>
  <c r="Y21" i="92"/>
  <c r="Z21" i="92" s="1"/>
  <c r="Y37" i="92"/>
  <c r="Z37" i="92" s="1"/>
  <c r="G9" i="23"/>
  <c r="G48" i="23"/>
  <c r="G47" i="23"/>
  <c r="G33" i="23"/>
  <c r="G34" i="23"/>
  <c r="U646" i="97" l="1"/>
  <c r="V645" i="97" s="1"/>
  <c r="H147" i="97"/>
  <c r="R214" i="92"/>
  <c r="H758" i="97"/>
  <c r="E10" i="117" s="1"/>
  <c r="E759" i="97"/>
  <c r="E21" i="23"/>
  <c r="W651" i="97"/>
  <c r="V580" i="97"/>
  <c r="O652" i="97"/>
  <c r="U652" i="97" s="1"/>
  <c r="O653" i="97"/>
  <c r="U653" i="97" s="1"/>
  <c r="X214" i="92"/>
  <c r="V654" i="97"/>
  <c r="T214" i="92"/>
  <c r="V650" i="97"/>
  <c r="W650" i="97" s="1"/>
  <c r="W214" i="92"/>
  <c r="V653" i="97"/>
  <c r="F25" i="23"/>
  <c r="G25" i="23" s="1"/>
  <c r="H645" i="97"/>
  <c r="S214" i="92"/>
  <c r="U214" i="92"/>
  <c r="E758" i="97"/>
  <c r="F21" i="23"/>
  <c r="G21" i="23" s="1"/>
  <c r="L32" i="52"/>
  <c r="L31" i="52" s="1"/>
  <c r="F759" i="97"/>
  <c r="G759" i="97" s="1"/>
  <c r="AA93" i="92"/>
  <c r="F20" i="119"/>
  <c r="G20" i="119" s="1"/>
  <c r="M9" i="119"/>
  <c r="N9" i="119" s="1"/>
  <c r="O9" i="119" s="1"/>
  <c r="F10" i="97"/>
  <c r="G10" i="97" s="1"/>
  <c r="Y5" i="92"/>
  <c r="V103" i="92"/>
  <c r="N19" i="23" s="1"/>
  <c r="N21" i="23" s="1"/>
  <c r="F10" i="112"/>
  <c r="G10" i="112" s="1"/>
  <c r="H10" i="112" s="1"/>
  <c r="F15" i="112"/>
  <c r="G15" i="112" s="1"/>
  <c r="H15" i="112" s="1"/>
  <c r="E820" i="97"/>
  <c r="F820" i="97" s="1"/>
  <c r="G820" i="97" s="1"/>
  <c r="F821" i="97"/>
  <c r="G821" i="97" s="1"/>
  <c r="L49" i="52"/>
  <c r="M50" i="52"/>
  <c r="N50" i="52" s="1"/>
  <c r="M49" i="119"/>
  <c r="E817" i="97"/>
  <c r="F817" i="97" s="1"/>
  <c r="G817" i="97" s="1"/>
  <c r="L47" i="52"/>
  <c r="F818" i="97"/>
  <c r="G818" i="97" s="1"/>
  <c r="I776" i="97"/>
  <c r="M34" i="52"/>
  <c r="N34" i="52" s="1"/>
  <c r="M33" i="119"/>
  <c r="K8" i="97"/>
  <c r="AA29" i="92"/>
  <c r="Y7" i="92"/>
  <c r="AA23" i="92"/>
  <c r="Z95" i="92"/>
  <c r="AA97" i="92"/>
  <c r="AA27" i="92"/>
  <c r="AA39" i="92"/>
  <c r="AA11" i="92"/>
  <c r="AA19" i="92"/>
  <c r="AA15" i="92"/>
  <c r="AA37" i="92"/>
  <c r="AA31" i="92"/>
  <c r="AA9" i="92"/>
  <c r="AA41" i="92"/>
  <c r="AA21" i="92"/>
  <c r="AA35" i="92"/>
  <c r="AA25" i="92"/>
  <c r="AA13" i="92"/>
  <c r="AA17" i="92"/>
  <c r="AA33" i="92"/>
  <c r="G7" i="23"/>
  <c r="F645" i="97" l="1"/>
  <c r="G645" i="97" s="1"/>
  <c r="F758" i="97"/>
  <c r="G758" i="97" s="1"/>
  <c r="K7" i="97"/>
  <c r="W9" i="97" s="1"/>
  <c r="O654" i="97"/>
  <c r="U654" i="97" s="1"/>
  <c r="W653" i="97"/>
  <c r="V214" i="92"/>
  <c r="V652" i="97"/>
  <c r="M32" i="52"/>
  <c r="N32" i="52" s="1"/>
  <c r="M31" i="119"/>
  <c r="Z5" i="92"/>
  <c r="AA5" i="92" s="1"/>
  <c r="Y103" i="92"/>
  <c r="I757" i="97"/>
  <c r="E19" i="117" s="1"/>
  <c r="M49" i="52"/>
  <c r="N49" i="52" s="1"/>
  <c r="L48" i="52"/>
  <c r="M48" i="119"/>
  <c r="N49" i="119"/>
  <c r="O49" i="119" s="1"/>
  <c r="M47" i="52"/>
  <c r="N47" i="52" s="1"/>
  <c r="M46" i="119"/>
  <c r="L46" i="52"/>
  <c r="M31" i="52"/>
  <c r="N31" i="52" s="1"/>
  <c r="N33" i="119"/>
  <c r="O33" i="119" s="1"/>
  <c r="Z7" i="92"/>
  <c r="AA95" i="92"/>
  <c r="L12" i="52" l="1"/>
  <c r="M12" i="52" s="1"/>
  <c r="N12" i="52" s="1"/>
  <c r="V147" i="97"/>
  <c r="M12" i="119"/>
  <c r="N12" i="119" s="1"/>
  <c r="O12" i="119" s="1"/>
  <c r="L13" i="52"/>
  <c r="M13" i="52" s="1"/>
  <c r="N13" i="52" s="1"/>
  <c r="U645" i="97"/>
  <c r="W645" i="97" s="1"/>
  <c r="AE9" i="97"/>
  <c r="AC6" i="97" s="1"/>
  <c r="K3" i="97"/>
  <c r="AA12" i="97"/>
  <c r="F147" i="97"/>
  <c r="G147" i="97" s="1"/>
  <c r="M11" i="119"/>
  <c r="N11" i="119" s="1"/>
  <c r="O11" i="119" s="1"/>
  <c r="U796" i="97"/>
  <c r="U795" i="97" s="1"/>
  <c r="F56" i="23"/>
  <c r="G56" i="23" s="1"/>
  <c r="W654" i="97"/>
  <c r="Y214" i="92"/>
  <c r="H649" i="97"/>
  <c r="H9" i="97" s="1"/>
  <c r="E19" i="23" s="1"/>
  <c r="N31" i="119"/>
  <c r="O31" i="119" s="1"/>
  <c r="M30" i="119"/>
  <c r="N30" i="119" s="1"/>
  <c r="O30" i="119" s="1"/>
  <c r="M46" i="52"/>
  <c r="N46" i="52" s="1"/>
  <c r="F16" i="112"/>
  <c r="M48" i="52"/>
  <c r="N48" i="52" s="1"/>
  <c r="D19" i="90"/>
  <c r="M47" i="119"/>
  <c r="N47" i="119" s="1"/>
  <c r="O47" i="119" s="1"/>
  <c r="N48" i="119"/>
  <c r="O48" i="119" s="1"/>
  <c r="M45" i="119"/>
  <c r="N45" i="119" s="1"/>
  <c r="O45" i="119" s="1"/>
  <c r="N46" i="119"/>
  <c r="O46" i="119" s="1"/>
  <c r="AA7" i="92"/>
  <c r="AA103" i="92" s="1"/>
  <c r="AA214" i="92" s="1"/>
  <c r="Z103" i="92"/>
  <c r="Z214" i="92" s="1"/>
  <c r="AD6" i="97" l="1"/>
  <c r="U776" i="97"/>
  <c r="AE6" i="97"/>
  <c r="L19" i="23"/>
  <c r="H8" i="97"/>
  <c r="U649" i="97"/>
  <c r="W652" i="97"/>
  <c r="V649" i="97"/>
  <c r="G16" i="112"/>
  <c r="H16" i="112" s="1"/>
  <c r="F8" i="112"/>
  <c r="E795" i="97" l="1"/>
  <c r="H776" i="97"/>
  <c r="H757" i="97" s="1"/>
  <c r="H7" i="97" s="1"/>
  <c r="E18" i="23"/>
  <c r="L20" i="23"/>
  <c r="L21" i="23" s="1"/>
  <c r="P21" i="23" s="1"/>
  <c r="G803" i="97"/>
  <c r="L41" i="52"/>
  <c r="W649" i="97"/>
  <c r="F9" i="97"/>
  <c r="G9" i="97" s="1"/>
  <c r="E6" i="117"/>
  <c r="N649" i="97"/>
  <c r="M13" i="119"/>
  <c r="M8" i="119" s="1"/>
  <c r="F649" i="97"/>
  <c r="G649" i="97" s="1"/>
  <c r="L14" i="52"/>
  <c r="M14" i="52" s="1"/>
  <c r="N14" i="52" s="1"/>
  <c r="G8" i="112"/>
  <c r="H8" i="112" s="1"/>
  <c r="F7" i="112"/>
  <c r="F795" i="97" l="1"/>
  <c r="L39" i="52"/>
  <c r="I28" i="90"/>
  <c r="M41" i="52"/>
  <c r="N41" i="52" s="1"/>
  <c r="M40" i="119"/>
  <c r="N40" i="119" s="1"/>
  <c r="O40" i="119" s="1"/>
  <c r="N13" i="119"/>
  <c r="O13" i="119" s="1"/>
  <c r="L9" i="52"/>
  <c r="G7" i="112"/>
  <c r="H7" i="112" s="1"/>
  <c r="F6" i="112"/>
  <c r="G6" i="112" s="1"/>
  <c r="H6" i="112" s="1"/>
  <c r="N8" i="119"/>
  <c r="O8" i="119" s="1"/>
  <c r="L53" i="102"/>
  <c r="M38" i="119" l="1"/>
  <c r="N38" i="119" s="1"/>
  <c r="M39" i="52"/>
  <c r="E23" i="23"/>
  <c r="F27" i="23"/>
  <c r="M9" i="52"/>
  <c r="N9" i="52" s="1"/>
  <c r="O9" i="52"/>
  <c r="E18" i="119"/>
  <c r="M53" i="102"/>
  <c r="M52" i="102" s="1"/>
  <c r="L52" i="102"/>
  <c r="L51" i="102" s="1"/>
  <c r="E20" i="52" l="1"/>
  <c r="F23" i="23"/>
  <c r="G23" i="23" s="1"/>
  <c r="E19" i="119"/>
  <c r="E17" i="23"/>
  <c r="E16" i="23" s="1"/>
  <c r="E6" i="23" s="1"/>
  <c r="N53" i="102"/>
  <c r="M51" i="102"/>
  <c r="N52" i="102" s="1"/>
  <c r="C54" i="23" l="1"/>
  <c r="E54" i="23" s="1"/>
  <c r="E20" i="102"/>
  <c r="F20" i="102" l="1"/>
  <c r="G20" i="102" l="1"/>
  <c r="L11" i="102" l="1"/>
  <c r="M11" i="102" s="1"/>
  <c r="N11" i="102" s="1"/>
  <c r="L9" i="102" l="1"/>
  <c r="M9" i="102" l="1"/>
  <c r="L12" i="102" l="1"/>
  <c r="N9" i="102"/>
  <c r="L13" i="102"/>
  <c r="M13" i="102" s="1"/>
  <c r="N13" i="102" s="1"/>
  <c r="M12" i="102" l="1"/>
  <c r="L8" i="102"/>
  <c r="L7" i="102" s="1"/>
  <c r="L6" i="102" l="1"/>
  <c r="M6" i="102" s="1"/>
  <c r="N6" i="102" s="1"/>
  <c r="E18" i="102"/>
  <c r="N12" i="102"/>
  <c r="M8" i="102"/>
  <c r="E19" i="102"/>
  <c r="F19" i="102" s="1"/>
  <c r="G19" i="102" s="1"/>
  <c r="N8" i="102" l="1"/>
  <c r="M7" i="102"/>
  <c r="N7" i="102" s="1"/>
  <c r="F18" i="102"/>
  <c r="E17" i="102"/>
  <c r="E16" i="102" s="1"/>
  <c r="E6" i="102" s="1"/>
  <c r="P6" i="102" s="1"/>
  <c r="E15" i="52" l="1"/>
  <c r="E14" i="52" s="1"/>
  <c r="F16" i="52"/>
  <c r="G18" i="102"/>
  <c r="F17" i="102"/>
  <c r="F15" i="52" l="1"/>
  <c r="F16" i="102"/>
  <c r="G17" i="102"/>
  <c r="F14" i="52" l="1"/>
  <c r="G16" i="102"/>
  <c r="F6" i="102"/>
  <c r="G6" i="102" s="1"/>
  <c r="F19" i="23" l="1"/>
  <c r="G19" i="23" s="1"/>
  <c r="E19" i="52" l="1"/>
  <c r="F18" i="23"/>
  <c r="G18" i="23" s="1"/>
  <c r="F18" i="119" l="1"/>
  <c r="F20" i="52"/>
  <c r="G20" i="52" s="1"/>
  <c r="F19" i="119"/>
  <c r="G19" i="119" s="1"/>
  <c r="F19" i="52"/>
  <c r="E57" i="23" l="1"/>
  <c r="G19" i="52"/>
  <c r="G18" i="119"/>
  <c r="E720" i="97" l="1"/>
  <c r="V720" i="97" s="1"/>
  <c r="E709" i="97"/>
  <c r="J682" i="97"/>
  <c r="E23" i="117" s="1"/>
  <c r="E20" i="117" s="1"/>
  <c r="F20" i="117" s="1"/>
  <c r="J8" i="97" l="1"/>
  <c r="L22" i="52"/>
  <c r="F709" i="97"/>
  <c r="G709" i="97" s="1"/>
  <c r="L24" i="52"/>
  <c r="F720" i="97"/>
  <c r="G720" i="97" s="1"/>
  <c r="U8" i="115"/>
  <c r="T8" i="115"/>
  <c r="I682" i="97" l="1"/>
  <c r="I8" i="97" s="1"/>
  <c r="I7" i="97" s="1"/>
  <c r="J7" i="97"/>
  <c r="M22" i="52"/>
  <c r="N22" i="52" s="1"/>
  <c r="M21" i="119"/>
  <c r="N21" i="119" s="1"/>
  <c r="O21" i="119" s="1"/>
  <c r="M24" i="52"/>
  <c r="N24" i="52" s="1"/>
  <c r="M23" i="119"/>
  <c r="N23" i="119" s="1"/>
  <c r="O23" i="119" s="1"/>
  <c r="X4" i="115"/>
  <c r="X8" i="115"/>
  <c r="X3" i="115"/>
  <c r="L21" i="52"/>
  <c r="E7" i="97" l="1"/>
  <c r="J3" i="97"/>
  <c r="AB7" i="97"/>
  <c r="F55" i="23"/>
  <c r="G55" i="23" s="1"/>
  <c r="E17" i="117"/>
  <c r="E14" i="117" s="1"/>
  <c r="F14" i="117" s="1"/>
  <c r="M21" i="52"/>
  <c r="N21" i="52" s="1"/>
  <c r="M20" i="119"/>
  <c r="N20" i="119" s="1"/>
  <c r="O20" i="119" s="1"/>
  <c r="L18" i="52"/>
  <c r="O18" i="52" s="1"/>
  <c r="F682" i="97"/>
  <c r="G682" i="97" s="1"/>
  <c r="F8" i="97"/>
  <c r="G8" i="97" s="1"/>
  <c r="N6" i="23" l="1"/>
  <c r="V7" i="97"/>
  <c r="M18" i="52"/>
  <c r="N18" i="52" s="1"/>
  <c r="M17" i="119"/>
  <c r="M7" i="119" s="1"/>
  <c r="L8" i="52"/>
  <c r="M8" i="52" l="1"/>
  <c r="N8" i="52" s="1"/>
  <c r="D17" i="90"/>
  <c r="N17" i="119"/>
  <c r="O17" i="119" s="1"/>
  <c r="N7" i="119" l="1"/>
  <c r="O7" i="119" s="1"/>
  <c r="U821" i="97" l="1"/>
  <c r="U820" i="97" s="1"/>
  <c r="U678" i="97"/>
  <c r="U677" i="97" l="1"/>
  <c r="V678" i="97"/>
  <c r="U709" i="97"/>
  <c r="V709" i="97" l="1"/>
  <c r="F32" i="23"/>
  <c r="G32" i="23" s="1"/>
  <c r="E21" i="119"/>
  <c r="F21" i="119" s="1"/>
  <c r="E22" i="52"/>
  <c r="E18" i="52" s="1"/>
  <c r="E17" i="52" s="1"/>
  <c r="E806" i="97"/>
  <c r="E776" i="97" s="1"/>
  <c r="E757" i="97" s="1"/>
  <c r="E11" i="117" l="1"/>
  <c r="E5" i="117" s="1"/>
  <c r="D4" i="117" s="1"/>
  <c r="F806" i="97"/>
  <c r="G806" i="97" s="1"/>
  <c r="L42" i="52"/>
  <c r="F16" i="23"/>
  <c r="F6" i="23" s="1"/>
  <c r="F17" i="119"/>
  <c r="G21" i="119"/>
  <c r="D12" i="90"/>
  <c r="E7" i="52"/>
  <c r="F22" i="52"/>
  <c r="E17" i="119"/>
  <c r="E16" i="119" s="1"/>
  <c r="E6" i="119" s="1"/>
  <c r="C6" i="117"/>
  <c r="C5" i="117" s="1"/>
  <c r="F17" i="23"/>
  <c r="G17" i="23" s="1"/>
  <c r="L37" i="52" l="1"/>
  <c r="M37" i="52" s="1"/>
  <c r="B4" i="117"/>
  <c r="F5" i="117"/>
  <c r="G6" i="23"/>
  <c r="G16" i="23"/>
  <c r="M41" i="119"/>
  <c r="M42" i="52"/>
  <c r="N42" i="52" s="1"/>
  <c r="F16" i="119"/>
  <c r="G17" i="119"/>
  <c r="D8" i="90"/>
  <c r="F776" i="97"/>
  <c r="G776" i="97" s="1"/>
  <c r="F757" i="97"/>
  <c r="G757" i="97" s="1"/>
  <c r="G22" i="52"/>
  <c r="F18" i="52"/>
  <c r="F54" i="23" l="1"/>
  <c r="G54" i="23" s="1"/>
  <c r="M36" i="119"/>
  <c r="L30" i="52"/>
  <c r="O30" i="52" s="1"/>
  <c r="N37" i="52"/>
  <c r="F17" i="52"/>
  <c r="G18" i="52"/>
  <c r="N41" i="119"/>
  <c r="O41" i="119" s="1"/>
  <c r="F6" i="119"/>
  <c r="G6" i="119" s="1"/>
  <c r="G16" i="119"/>
  <c r="F57" i="23" l="1"/>
  <c r="G57" i="23" s="1"/>
  <c r="M29" i="119"/>
  <c r="M6" i="119" s="1"/>
  <c r="N6" i="119" s="1"/>
  <c r="O6" i="119" s="1"/>
  <c r="N36" i="119"/>
  <c r="K6" i="23"/>
  <c r="G17" i="52"/>
  <c r="F7" i="52"/>
  <c r="G7" i="52" s="1"/>
  <c r="L7" i="52"/>
  <c r="D18" i="90"/>
  <c r="M30" i="52"/>
  <c r="N30" i="52" s="1"/>
  <c r="M7" i="52" l="1"/>
  <c r="N7" i="52" s="1"/>
  <c r="O7" i="52"/>
  <c r="N29" i="119"/>
  <c r="O29" i="119" s="1"/>
  <c r="O701" i="97"/>
  <c r="V685" i="97"/>
  <c r="U665" i="97" l="1"/>
  <c r="V665" i="97" s="1"/>
  <c r="U9" i="97" l="1"/>
  <c r="V759" i="97"/>
  <c r="U702" i="97" l="1"/>
  <c r="V702" i="97" l="1"/>
  <c r="U682" i="97"/>
  <c r="U8" i="97" s="1"/>
  <c r="U768" i="97"/>
  <c r="U766" i="97" s="1"/>
  <c r="V766" i="97" l="1"/>
  <c r="U758" i="97"/>
  <c r="U757" i="97" s="1"/>
  <c r="U738" i="97" l="1"/>
  <c r="O740" i="97"/>
  <c r="U734" i="97"/>
  <c r="V734" i="97" s="1"/>
  <c r="U726" i="97" l="1"/>
  <c r="U725" i="97" s="1"/>
  <c r="U7" i="97" s="1"/>
  <c r="F702" i="97" l="1"/>
  <c r="G702" i="97" s="1"/>
  <c r="F7" i="97"/>
  <c r="G7" i="97" s="1"/>
</calcChain>
</file>

<file path=xl/comments1.xml><?xml version="1.0" encoding="utf-8"?>
<comments xmlns="http://schemas.openxmlformats.org/spreadsheetml/2006/main">
  <authors>
    <author>이선이</author>
  </authors>
  <commentList>
    <comment ref="K3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6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Tahoma"/>
            <family val="2"/>
          </rPr>
          <t xml:space="preserve"> 40,000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F143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  <comment ref="F145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  <comment ref="F14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</commentList>
</comments>
</file>

<file path=xl/comments2.xml><?xml version="1.0" encoding="utf-8"?>
<comments xmlns="http://schemas.openxmlformats.org/spreadsheetml/2006/main">
  <authors>
    <author>이선이</author>
  </authors>
  <commentLis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243,340*3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소급분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<sst xmlns="http://schemas.openxmlformats.org/spreadsheetml/2006/main" count="6834" uniqueCount="1356">
  <si>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</si>
  <si>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</si>
  <si>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</si>
  <si>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</si>
  <si>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</si>
  <si>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</si>
  <si>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</si>
  <si>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</si>
  <si>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</si>
  <si>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>원</t>
    <phoneticPr fontId="5" type="noConversion"/>
  </si>
  <si>
    <t>(단위 : 원)</t>
    <phoneticPr fontId="4" type="noConversion"/>
  </si>
  <si>
    <t>목</t>
    <phoneticPr fontId="4" type="noConversion"/>
  </si>
  <si>
    <t>제2조</t>
    <phoneticPr fontId="5" type="noConversion"/>
  </si>
  <si>
    <t xml:space="preserve"> 세입세출 예산 총액은</t>
    <phoneticPr fontId="5" type="noConversion"/>
  </si>
  <si>
    <t>원으로,</t>
    <phoneticPr fontId="5" type="noConversion"/>
  </si>
  <si>
    <t xml:space="preserve"> 세입세출의 명세는 다음과 같다.</t>
    <phoneticPr fontId="5" type="noConversion"/>
  </si>
  <si>
    <t>1. 세입의 주요재원은 다음과 같다. (관 기준)</t>
    <phoneticPr fontId="5" type="noConversion"/>
  </si>
  <si>
    <t>3. 명시이월 사업은</t>
    <phoneticPr fontId="5" type="noConversion"/>
  </si>
  <si>
    <t>이며,  예산은</t>
    <phoneticPr fontId="5" type="noConversion"/>
  </si>
  <si>
    <t>원이다.</t>
    <phoneticPr fontId="5" type="noConversion"/>
  </si>
  <si>
    <t>제3조</t>
    <phoneticPr fontId="5" type="noConversion"/>
  </si>
  <si>
    <t>제4조</t>
    <phoneticPr fontId="5" type="noConversion"/>
  </si>
  <si>
    <t>법인이사회의 예산승인을 받기 전에 일반경비 및 긴급을 요하는 예산집행은 직전예산에 준하여</t>
    <phoneticPr fontId="5" type="noConversion"/>
  </si>
  <si>
    <t>지출할 수 있으며,  그 집행된 예산은 당해 연도의 확정예산에 의하여 집행된 것으로 간주한다.</t>
    <phoneticPr fontId="5" type="noConversion"/>
  </si>
  <si>
    <t>제5조</t>
    <phoneticPr fontId="5" type="noConversion"/>
  </si>
  <si>
    <t>각 계정과목 내의 항목의 예산집행은 당해 계정과목의 승인예산의 범위 내에서 항목간 예산을</t>
    <phoneticPr fontId="5" type="noConversion"/>
  </si>
  <si>
    <t>일부 조정하여 사용할 수 있다.</t>
    <phoneticPr fontId="5" type="noConversion"/>
  </si>
  <si>
    <t>제6조</t>
    <phoneticPr fontId="5" type="noConversion"/>
  </si>
  <si>
    <t>제7조</t>
    <phoneticPr fontId="5" type="noConversion"/>
  </si>
  <si>
    <t>국가 또는 지방자치단체로부터 교부된 보조금 및 지정후원금, 수익자부담 경비 등은</t>
    <phoneticPr fontId="5" type="noConversion"/>
  </si>
  <si>
    <t>추가경정예산의 성립 이전이라도  보조 및 후원 목적에 적절한 경우  먼저 사용할 수 있으며,</t>
    <phoneticPr fontId="5" type="noConversion"/>
  </si>
  <si>
    <t>이는 반드시 차기 추가경정예산에 반영하여야 한다.</t>
    <phoneticPr fontId="5" type="noConversion"/>
  </si>
  <si>
    <t>제8조</t>
    <phoneticPr fontId="5" type="noConversion"/>
  </si>
  <si>
    <t>제9조</t>
    <phoneticPr fontId="5" type="noConversion"/>
  </si>
  <si>
    <t>국가, 지방자치단체 및 사회복지기금 등에서 공모사업 선정으로 받은 보조금은 사회복지법인</t>
    <phoneticPr fontId="5" type="noConversion"/>
  </si>
  <si>
    <t>(만약, 지정후원금 또는 별도 사업비 편성이 용이하다는 지차체의 증빙자료(공문)가 있을시에만</t>
    <phoneticPr fontId="5" type="noConversion"/>
  </si>
  <si>
    <t xml:space="preserve"> 별도 편성 가능)</t>
    <phoneticPr fontId="5" type="noConversion"/>
  </si>
  <si>
    <t>2. 세출의 내용은 다음과 같다. (관 또는 항기준)</t>
    <phoneticPr fontId="5" type="noConversion"/>
  </si>
  <si>
    <t>기타 회계 관련 규정의 개정으로 예산과목이 변경된 경우에는 당해연도 변경된 과목으로 승인</t>
    <phoneticPr fontId="5" type="noConversion"/>
  </si>
  <si>
    <t xml:space="preserve"> 및 사회복지시설 재무회계규칙에 따라 기타보조금에 편성되어야 한다.</t>
    <phoneticPr fontId="5" type="noConversion"/>
  </si>
  <si>
    <t>된 것으로 하며,  그 외의  예산총칙에 명시되지 아니한 사항은 「사회복지법인</t>
    <phoneticPr fontId="5" type="noConversion"/>
  </si>
  <si>
    <t xml:space="preserve">4. 신설사업은  </t>
    <phoneticPr fontId="5" type="noConversion"/>
  </si>
  <si>
    <t xml:space="preserve"> 사회복지법인 및 사회복지시설 재무회계규칙 제9조 1항에 의한다.</t>
  </si>
  <si>
    <t>및 사회복지시설  재무회계규칙」에 따라 집행한다.</t>
    <phoneticPr fontId="5" type="noConversion"/>
  </si>
  <si>
    <t>제1조</t>
    <phoneticPr fontId="5" type="noConversion"/>
  </si>
  <si>
    <t>증감사유</t>
    <phoneticPr fontId="5" type="noConversion"/>
  </si>
  <si>
    <t>가. 예  산   총  칙</t>
    <phoneticPr fontId="5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</si>
  <si>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</si>
  <si>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</si>
  <si>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</si>
  <si>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</si>
  <si>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합 계</t>
    <phoneticPr fontId="4" type="noConversion"/>
  </si>
  <si>
    <t xml:space="preserve">  나.  세입.세출 총괄표</t>
    <phoneticPr fontId="4" type="noConversion"/>
  </si>
  <si>
    <t>퇴직금 및 
퇴직적립금</t>
    <phoneticPr fontId="5" type="noConversion"/>
  </si>
  <si>
    <t>사회보험부담금</t>
    <phoneticPr fontId="5" type="noConversion"/>
  </si>
  <si>
    <t>본예산(안)은 법인 이사회의 승인을 얻어 확정한다.</t>
    <phoneticPr fontId="5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</si>
  <si>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</si>
  <si>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</si>
  <si>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</si>
  <si>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증감율(%)
(C/A*100)</t>
    <phoneticPr fontId="4" type="noConversion"/>
  </si>
  <si>
    <t>라.  세출내역서</t>
    <phoneticPr fontId="4" type="noConversion"/>
  </si>
  <si>
    <t>다.  세입내역서</t>
    <phoneticPr fontId="4" type="noConversion"/>
  </si>
  <si>
    <t>제수당</t>
    <phoneticPr fontId="4" type="noConversion"/>
  </si>
  <si>
    <t>제수당 계</t>
    <phoneticPr fontId="4" type="noConversion"/>
  </si>
  <si>
    <t>사. 임직원 보수 일람표</t>
    <phoneticPr fontId="4" type="noConversion"/>
  </si>
  <si>
    <t>00수당</t>
    <phoneticPr fontId="5" type="noConversion"/>
  </si>
  <si>
    <t>00수당</t>
    <phoneticPr fontId="4" type="noConversion"/>
  </si>
  <si>
    <t>총합계</t>
    <phoneticPr fontId="4" type="noConversion"/>
  </si>
  <si>
    <t>지자체 별도 지급액</t>
    <phoneticPr fontId="5" type="noConversion"/>
  </si>
  <si>
    <t>지자체 지급액 계</t>
    <phoneticPr fontId="5" type="noConversion"/>
  </si>
  <si>
    <t>「사회복지법인 및 사회복지시설 재무회계규칙」 제16조에 의거하여 예산을 전용할 수 있다.</t>
    <phoneticPr fontId="5" type="noConversion"/>
  </si>
  <si>
    <t>합계</t>
    <phoneticPr fontId="4" type="noConversion"/>
  </si>
  <si>
    <t>성명</t>
    <phoneticPr fontId="5" type="noConversion"/>
  </si>
  <si>
    <t>성명</t>
    <phoneticPr fontId="5" type="noConversion"/>
  </si>
  <si>
    <t>급여</t>
    <phoneticPr fontId="4" type="noConversion"/>
  </si>
  <si>
    <t>급여</t>
    <phoneticPr fontId="4" type="noConversion"/>
  </si>
  <si>
    <t xml:space="preserve">   7) </t>
    <phoneticPr fontId="5" type="noConversion"/>
  </si>
  <si>
    <t xml:space="preserve">   5) </t>
    <phoneticPr fontId="5" type="noConversion"/>
  </si>
  <si>
    <t xml:space="preserve">   3) </t>
    <phoneticPr fontId="5" type="noConversion"/>
  </si>
  <si>
    <t xml:space="preserve">   1)</t>
    <phoneticPr fontId="5" type="noConversion"/>
  </si>
  <si>
    <t xml:space="preserve">   1) </t>
    <phoneticPr fontId="5" type="noConversion"/>
  </si>
  <si>
    <t xml:space="preserve">2) </t>
    <phoneticPr fontId="5" type="noConversion"/>
  </si>
  <si>
    <t xml:space="preserve">4) </t>
    <phoneticPr fontId="5" type="noConversion"/>
  </si>
  <si>
    <t xml:space="preserve">6) </t>
    <phoneticPr fontId="5" type="noConversion"/>
  </si>
  <si>
    <t xml:space="preserve">8) </t>
    <phoneticPr fontId="5" type="noConversion"/>
  </si>
  <si>
    <t>재원</t>
    <phoneticPr fontId="4" type="noConversion"/>
  </si>
  <si>
    <t>단, 관·항간 예산을 전용 할 경우 법인 이사회의 의결을 거쳐야 한다.</t>
    <phoneticPr fontId="5" type="noConversion"/>
  </si>
  <si>
    <t>보조금</t>
    <phoneticPr fontId="5" type="noConversion"/>
  </si>
  <si>
    <t>법인전입금</t>
    <phoneticPr fontId="5" type="noConversion"/>
  </si>
  <si>
    <t>자부담</t>
    <phoneticPr fontId="5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</si>
  <si>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</si>
  <si>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</si>
  <si>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</si>
  <si>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</si>
  <si>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</si>
  <si>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</si>
  <si>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</si>
  <si>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</si>
  <si>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후원금</t>
  </si>
  <si>
    <t>후원금수입</t>
  </si>
  <si>
    <t>전입금</t>
  </si>
  <si>
    <t>이월금</t>
  </si>
  <si>
    <t>이월사업비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</si>
  <si>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</si>
  <si>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</si>
  <si>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</si>
  <si>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</si>
  <si>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</si>
  <si>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</si>
  <si>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</si>
  <si>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</si>
  <si>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퇴직금및퇴직적립금</t>
  </si>
  <si>
    <t>사회보험부담비용</t>
  </si>
  <si>
    <t>기타후생경비</t>
  </si>
  <si>
    <t>업무추진비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</si>
  <si>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</si>
  <si>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</si>
  <si>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</si>
  <si>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</si>
  <si>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</si>
  <si>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</si>
  <si>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</si>
  <si>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</si>
  <si>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</si>
  <si>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</si>
  <si>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</si>
  <si>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</si>
  <si>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</si>
  <si>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</si>
  <si>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</si>
  <si>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</si>
  <si>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</si>
  <si>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연료비</t>
  </si>
  <si>
    <t>환경개선사업</t>
  </si>
  <si>
    <t>잡지출</t>
  </si>
  <si>
    <t>예비비및기타</t>
  </si>
  <si>
    <t>원</t>
  </si>
  <si>
    <t>×</t>
  </si>
  <si>
    <t xml:space="preserve">본 예산(안)은 사회복지법인 천주교 수원교구 사회복지회 소속 장애인거주시설 '둘다섯해누리'의 </t>
    <phoneticPr fontId="5" type="noConversion"/>
  </si>
  <si>
    <t>입소자부담금</t>
    <phoneticPr fontId="5" type="noConversion"/>
  </si>
  <si>
    <t>사업수입</t>
    <phoneticPr fontId="5" type="noConversion"/>
  </si>
  <si>
    <t>보조금수입</t>
    <phoneticPr fontId="5" type="noConversion"/>
  </si>
  <si>
    <t>후원금수입</t>
    <phoneticPr fontId="5" type="noConversion"/>
  </si>
  <si>
    <t>차입금</t>
    <phoneticPr fontId="5" type="noConversion"/>
  </si>
  <si>
    <t>전입금</t>
    <phoneticPr fontId="5" type="noConversion"/>
  </si>
  <si>
    <t>이월금</t>
    <phoneticPr fontId="5" type="noConversion"/>
  </si>
  <si>
    <t>잡수입</t>
    <phoneticPr fontId="5" type="noConversion"/>
  </si>
  <si>
    <t>사무비</t>
    <phoneticPr fontId="5" type="noConversion"/>
  </si>
  <si>
    <t>재산조성비</t>
    <phoneticPr fontId="5" type="noConversion"/>
  </si>
  <si>
    <t>사업비</t>
    <phoneticPr fontId="5" type="noConversion"/>
  </si>
  <si>
    <t>잡지출</t>
    <phoneticPr fontId="5" type="noConversion"/>
  </si>
  <si>
    <t>과년도지출</t>
    <phoneticPr fontId="5" type="noConversion"/>
  </si>
  <si>
    <t>예비비및기타</t>
    <phoneticPr fontId="5" type="noConversion"/>
  </si>
  <si>
    <t>시설장</t>
    <phoneticPr fontId="5" type="noConversion"/>
  </si>
  <si>
    <t>이기수</t>
    <phoneticPr fontId="5" type="noConversion"/>
  </si>
  <si>
    <t>13</t>
    <phoneticPr fontId="5" type="noConversion"/>
  </si>
  <si>
    <t>14</t>
    <phoneticPr fontId="5" type="noConversion"/>
  </si>
  <si>
    <t>가족수당</t>
    <phoneticPr fontId="5" type="noConversion"/>
  </si>
  <si>
    <t>연장수당</t>
    <phoneticPr fontId="4" type="noConversion"/>
  </si>
  <si>
    <t>연장추가
지원수당</t>
    <phoneticPr fontId="5" type="noConversion"/>
  </si>
  <si>
    <t>국민연금</t>
    <phoneticPr fontId="5" type="noConversion"/>
  </si>
  <si>
    <t>건강보험</t>
    <phoneticPr fontId="5" type="noConversion"/>
  </si>
  <si>
    <t>고용보험</t>
    <phoneticPr fontId="5" type="noConversion"/>
  </si>
  <si>
    <t>산재보험</t>
    <phoneticPr fontId="5" type="noConversion"/>
  </si>
  <si>
    <t>장기요양</t>
    <phoneticPr fontId="5" type="noConversion"/>
  </si>
  <si>
    <t>기본급</t>
    <phoneticPr fontId="5" type="noConversion"/>
  </si>
  <si>
    <t>사무국장</t>
    <phoneticPr fontId="5" type="noConversion"/>
  </si>
  <si>
    <t>금형민</t>
    <phoneticPr fontId="5" type="noConversion"/>
  </si>
  <si>
    <t>시급</t>
    <phoneticPr fontId="5" type="noConversion"/>
  </si>
  <si>
    <t>승급월</t>
    <phoneticPr fontId="5" type="noConversion"/>
  </si>
  <si>
    <t>공제액계</t>
    <phoneticPr fontId="5" type="noConversion"/>
  </si>
  <si>
    <t>상담평가원
(과장)</t>
    <phoneticPr fontId="5" type="noConversion"/>
  </si>
  <si>
    <t>김정윤</t>
    <phoneticPr fontId="5" type="noConversion"/>
  </si>
  <si>
    <t>16</t>
    <phoneticPr fontId="5" type="noConversion"/>
  </si>
  <si>
    <t>사회재활
교사(과장)</t>
    <phoneticPr fontId="5" type="noConversion"/>
  </si>
  <si>
    <t>이성수</t>
    <phoneticPr fontId="5" type="noConversion"/>
  </si>
  <si>
    <t>영양사
(팀장)</t>
    <phoneticPr fontId="5" type="noConversion"/>
  </si>
  <si>
    <t>김혜영</t>
    <phoneticPr fontId="5" type="noConversion"/>
  </si>
  <si>
    <t>언어치료사</t>
    <phoneticPr fontId="5" type="noConversion"/>
  </si>
  <si>
    <t>최민성</t>
    <phoneticPr fontId="5" type="noConversion"/>
  </si>
  <si>
    <t>12</t>
    <phoneticPr fontId="5" type="noConversion"/>
  </si>
  <si>
    <t>작업치료사</t>
    <phoneticPr fontId="5" type="noConversion"/>
  </si>
  <si>
    <t>이동철</t>
    <phoneticPr fontId="5" type="noConversion"/>
  </si>
  <si>
    <t>5</t>
    <phoneticPr fontId="5" type="noConversion"/>
  </si>
  <si>
    <t>6</t>
    <phoneticPr fontId="5" type="noConversion"/>
  </si>
  <si>
    <t>선임지도원
(팀장)</t>
    <phoneticPr fontId="5" type="noConversion"/>
  </si>
  <si>
    <t>이선이</t>
    <phoneticPr fontId="5" type="noConversion"/>
  </si>
  <si>
    <t>물리치료사</t>
    <phoneticPr fontId="5" type="noConversion"/>
  </si>
  <si>
    <t>김효선</t>
    <phoneticPr fontId="5" type="noConversion"/>
  </si>
  <si>
    <t>15</t>
    <phoneticPr fontId="5" type="noConversion"/>
  </si>
  <si>
    <t>심영은</t>
    <phoneticPr fontId="5" type="noConversion"/>
  </si>
  <si>
    <t>사무원</t>
    <phoneticPr fontId="5" type="noConversion"/>
  </si>
  <si>
    <t>유준</t>
    <phoneticPr fontId="5" type="noConversion"/>
  </si>
  <si>
    <t>생활지도원</t>
    <phoneticPr fontId="5" type="noConversion"/>
  </si>
  <si>
    <t>신희철</t>
    <phoneticPr fontId="5" type="noConversion"/>
  </si>
  <si>
    <t>홍은향</t>
    <phoneticPr fontId="5" type="noConversion"/>
  </si>
  <si>
    <t>이도란</t>
    <phoneticPr fontId="5" type="noConversion"/>
  </si>
  <si>
    <t>4</t>
    <phoneticPr fontId="5" type="noConversion"/>
  </si>
  <si>
    <t>8</t>
    <phoneticPr fontId="5" type="noConversion"/>
  </si>
  <si>
    <t>윤용진</t>
    <phoneticPr fontId="5" type="noConversion"/>
  </si>
  <si>
    <t>김종민</t>
    <phoneticPr fontId="5" type="noConversion"/>
  </si>
  <si>
    <t>권구철</t>
    <phoneticPr fontId="5" type="noConversion"/>
  </si>
  <si>
    <t>김유경</t>
    <phoneticPr fontId="5" type="noConversion"/>
  </si>
  <si>
    <t>문슬기</t>
    <phoneticPr fontId="5" type="noConversion"/>
  </si>
  <si>
    <t>민병선</t>
    <phoneticPr fontId="5" type="noConversion"/>
  </si>
  <si>
    <t>조원일</t>
    <phoneticPr fontId="5" type="noConversion"/>
  </si>
  <si>
    <t>심종환</t>
    <phoneticPr fontId="5" type="noConversion"/>
  </si>
  <si>
    <t>박영규</t>
    <phoneticPr fontId="5" type="noConversion"/>
  </si>
  <si>
    <t>7</t>
    <phoneticPr fontId="5" type="noConversion"/>
  </si>
  <si>
    <t>이상헌</t>
    <phoneticPr fontId="5" type="noConversion"/>
  </si>
  <si>
    <t>윤민</t>
    <phoneticPr fontId="5" type="noConversion"/>
  </si>
  <si>
    <t>서용욱</t>
    <phoneticPr fontId="5" type="noConversion"/>
  </si>
  <si>
    <t>2</t>
    <phoneticPr fontId="5" type="noConversion"/>
  </si>
  <si>
    <t>3</t>
    <phoneticPr fontId="5" type="noConversion"/>
  </si>
  <si>
    <t>박은혜</t>
    <phoneticPr fontId="5" type="noConversion"/>
  </si>
  <si>
    <t>김민제</t>
    <phoneticPr fontId="5" type="noConversion"/>
  </si>
  <si>
    <t>남택림</t>
    <phoneticPr fontId="5" type="noConversion"/>
  </si>
  <si>
    <t>이순옥</t>
    <phoneticPr fontId="5" type="noConversion"/>
  </si>
  <si>
    <t>위생원</t>
    <phoneticPr fontId="5" type="noConversion"/>
  </si>
  <si>
    <t>조리원</t>
    <phoneticPr fontId="5" type="noConversion"/>
  </si>
  <si>
    <t>정순정</t>
    <phoneticPr fontId="5" type="noConversion"/>
  </si>
  <si>
    <t>촉탁의</t>
    <phoneticPr fontId="5" type="noConversion"/>
  </si>
  <si>
    <t>박제석</t>
    <phoneticPr fontId="5" type="noConversion"/>
  </si>
  <si>
    <t>1</t>
    <phoneticPr fontId="5" type="noConversion"/>
  </si>
  <si>
    <t>이민지</t>
    <phoneticPr fontId="5" type="noConversion"/>
  </si>
  <si>
    <t>최미란</t>
    <phoneticPr fontId="5" type="noConversion"/>
  </si>
  <si>
    <t>김도아</t>
    <phoneticPr fontId="5" type="noConversion"/>
  </si>
  <si>
    <t>정택진</t>
    <phoneticPr fontId="5" type="noConversion"/>
  </si>
  <si>
    <t>경기도
특수근무수당</t>
    <phoneticPr fontId="5" type="noConversion"/>
  </si>
  <si>
    <t>경기도
처우개선비</t>
    <phoneticPr fontId="5" type="noConversion"/>
  </si>
  <si>
    <t>사회보험
부담금</t>
    <phoneticPr fontId="5" type="noConversion"/>
  </si>
  <si>
    <t>직책수당</t>
    <phoneticPr fontId="5" type="noConversion"/>
  </si>
  <si>
    <t>생활지도원
(팀장)</t>
    <phoneticPr fontId="5" type="noConversion"/>
  </si>
  <si>
    <t>사회심리재활사업비</t>
  </si>
  <si>
    <t>직업재활사업비</t>
  </si>
  <si>
    <t>4종운영지원사업비</t>
  </si>
  <si>
    <t>7종운영지원사업비</t>
  </si>
  <si>
    <t>재활프로그램사업비</t>
  </si>
  <si>
    <t>기 능 보 강   사업비</t>
  </si>
  <si>
    <t>결연사업비</t>
  </si>
  <si>
    <t>결연후원금</t>
  </si>
  <si>
    <t>과년도지출</t>
  </si>
  <si>
    <t>보조금반환금</t>
  </si>
  <si>
    <t>나. 세입·세출 총괄</t>
    <phoneticPr fontId="4" type="noConversion"/>
  </si>
  <si>
    <t>(단위:원)</t>
    <phoneticPr fontId="4" type="noConversion"/>
  </si>
  <si>
    <t>세                           입</t>
    <phoneticPr fontId="4" type="noConversion"/>
  </si>
  <si>
    <t>세                            출</t>
    <phoneticPr fontId="4" type="noConversion"/>
  </si>
  <si>
    <t>과                     목</t>
    <phoneticPr fontId="4" type="noConversion"/>
  </si>
  <si>
    <t>당초예산
( A )</t>
    <phoneticPr fontId="4" type="noConversion"/>
  </si>
  <si>
    <t>1차추경
( B )</t>
    <phoneticPr fontId="4" type="noConversion"/>
  </si>
  <si>
    <t>증감 (B-A)</t>
    <phoneticPr fontId="4" type="noConversion"/>
  </si>
  <si>
    <t>금액</t>
    <phoneticPr fontId="4" type="noConversion"/>
  </si>
  <si>
    <t>비율(%)</t>
    <phoneticPr fontId="4" type="noConversion"/>
  </si>
  <si>
    <t>총                  계</t>
    <phoneticPr fontId="4" type="noConversion"/>
  </si>
  <si>
    <t>입소자부담금</t>
    <phoneticPr fontId="4" type="noConversion"/>
  </si>
  <si>
    <t>계</t>
    <phoneticPr fontId="4" type="noConversion"/>
  </si>
  <si>
    <t>사무비</t>
    <phoneticPr fontId="4" type="noConversion"/>
  </si>
  <si>
    <t>입소비용수입</t>
    <phoneticPr fontId="4" type="noConversion"/>
  </si>
  <si>
    <t>소계</t>
    <phoneticPr fontId="4" type="noConversion"/>
  </si>
  <si>
    <t>인건비</t>
    <phoneticPr fontId="4" type="noConversion"/>
  </si>
  <si>
    <t>사업수입</t>
    <phoneticPr fontId="4" type="noConversion"/>
  </si>
  <si>
    <t xml:space="preserve">일용잡금 </t>
    <phoneticPr fontId="4" type="noConversion"/>
  </si>
  <si>
    <t>프로그램사업수입</t>
    <phoneticPr fontId="4" type="noConversion"/>
  </si>
  <si>
    <t>퇴직금및퇴직적립금</t>
    <phoneticPr fontId="4" type="noConversion"/>
  </si>
  <si>
    <t>과년도수입</t>
    <phoneticPr fontId="4" type="noConversion"/>
  </si>
  <si>
    <t>사회보험부담비용</t>
    <phoneticPr fontId="4" type="noConversion"/>
  </si>
  <si>
    <t>기타후생경비</t>
    <phoneticPr fontId="4" type="noConversion"/>
  </si>
  <si>
    <t>업무추진비</t>
    <phoneticPr fontId="4" type="noConversion"/>
  </si>
  <si>
    <t>보조금수입</t>
    <phoneticPr fontId="4" type="noConversion"/>
  </si>
  <si>
    <t>회의비</t>
    <phoneticPr fontId="4" type="noConversion"/>
  </si>
  <si>
    <t>운영비</t>
    <phoneticPr fontId="4" type="noConversion"/>
  </si>
  <si>
    <t>국도시보조금(70%)</t>
    <phoneticPr fontId="4" type="noConversion"/>
  </si>
  <si>
    <t>여비</t>
    <phoneticPr fontId="4" type="noConversion"/>
  </si>
  <si>
    <t>수용비및수수료</t>
    <phoneticPr fontId="4" type="noConversion"/>
  </si>
  <si>
    <t>시도보조금(100%)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</si>
  <si>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</si>
  <si>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</si>
  <si>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</si>
  <si>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</si>
  <si>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</si>
  <si>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</si>
  <si>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</si>
  <si>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시설장비유지비</t>
    <phoneticPr fontId="4" type="noConversion"/>
  </si>
  <si>
    <t>사업비</t>
    <phoneticPr fontId="4" type="noConversion"/>
  </si>
  <si>
    <t>후원금</t>
    <phoneticPr fontId="4" type="noConversion"/>
  </si>
  <si>
    <t>후원금수입</t>
    <phoneticPr fontId="4" type="noConversion"/>
  </si>
  <si>
    <t>생계비</t>
    <phoneticPr fontId="4" type="noConversion"/>
  </si>
  <si>
    <t>지정후원금</t>
    <phoneticPr fontId="4" type="noConversion"/>
  </si>
  <si>
    <t>피복비</t>
    <phoneticPr fontId="4" type="noConversion"/>
  </si>
  <si>
    <t>비지정후원금</t>
    <phoneticPr fontId="4" type="noConversion"/>
  </si>
  <si>
    <t>의료비</t>
    <phoneticPr fontId="4" type="noConversion"/>
  </si>
  <si>
    <t>연료비</t>
    <phoneticPr fontId="4" type="noConversion"/>
  </si>
  <si>
    <t>전입금</t>
    <phoneticPr fontId="4" type="noConversion"/>
  </si>
  <si>
    <t>사회심리재활사업비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</si>
  <si>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</si>
  <si>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</si>
  <si>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</si>
  <si>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재활프로그램사업비</t>
    <phoneticPr fontId="4" type="noConversion"/>
  </si>
  <si>
    <t>이월사업비</t>
    <phoneticPr fontId="4" type="noConversion"/>
  </si>
  <si>
    <t>잡수입</t>
    <phoneticPr fontId="4" type="noConversion"/>
  </si>
  <si>
    <t>결연사업비</t>
    <phoneticPr fontId="4" type="noConversion"/>
  </si>
  <si>
    <t>결연후원금</t>
    <phoneticPr fontId="4" type="noConversion"/>
  </si>
  <si>
    <t>불용품매각대</t>
    <phoneticPr fontId="4" type="noConversion"/>
  </si>
  <si>
    <t>과년도지출</t>
    <phoneticPr fontId="4" type="noConversion"/>
  </si>
  <si>
    <t>기타예금이자수입</t>
    <phoneticPr fontId="4" type="noConversion"/>
  </si>
  <si>
    <t>기타잡수입</t>
    <phoneticPr fontId="4" type="noConversion"/>
  </si>
  <si>
    <t>잡지출</t>
    <phoneticPr fontId="4" type="noConversion"/>
  </si>
  <si>
    <t>예비비및기타</t>
    <phoneticPr fontId="4" type="noConversion"/>
  </si>
  <si>
    <t>보조금반환금</t>
    <phoneticPr fontId="4" type="noConversion"/>
  </si>
  <si>
    <t>운전원</t>
    <phoneticPr fontId="5" type="noConversion"/>
  </si>
  <si>
    <t>유동식</t>
    <phoneticPr fontId="5" type="noConversion"/>
  </si>
  <si>
    <t>윤인자</t>
    <phoneticPr fontId="5" type="noConversion"/>
  </si>
  <si>
    <t>전상돈</t>
    <phoneticPr fontId="5" type="noConversion"/>
  </si>
  <si>
    <t>※ 보건복지가족부 2020년 종사자 보수지급기준표 적용.</t>
    <phoneticPr fontId="11" type="noConversion"/>
  </si>
  <si>
    <t>구현우</t>
    <phoneticPr fontId="5" type="noConversion"/>
  </si>
  <si>
    <t>권지수</t>
    <phoneticPr fontId="5" type="noConversion"/>
  </si>
  <si>
    <t>김효주</t>
    <phoneticPr fontId="5" type="noConversion"/>
  </si>
  <si>
    <t>이현경</t>
    <phoneticPr fontId="5" type="noConversion"/>
  </si>
  <si>
    <t>오권호</t>
    <phoneticPr fontId="5" type="noConversion"/>
  </si>
  <si>
    <t>이성진</t>
    <phoneticPr fontId="5" type="noConversion"/>
  </si>
  <si>
    <t>명은아</t>
    <phoneticPr fontId="5" type="noConversion"/>
  </si>
  <si>
    <t>김철진</t>
    <phoneticPr fontId="5" type="noConversion"/>
  </si>
  <si>
    <t>이풍원</t>
    <phoneticPr fontId="5" type="noConversion"/>
  </si>
  <si>
    <t>합계액</t>
    <phoneticPr fontId="5" type="noConversion"/>
  </si>
  <si>
    <t>보조금수입</t>
    <phoneticPr fontId="4" type="noConversion"/>
  </si>
  <si>
    <t>한정숙</t>
    <phoneticPr fontId="5" type="noConversion"/>
  </si>
  <si>
    <t>※ '국민기초 생활보장 급여'월별 산출내역표</t>
    <phoneticPr fontId="4" type="noConversion"/>
  </si>
  <si>
    <t>월</t>
    <phoneticPr fontId="4" type="noConversion"/>
  </si>
  <si>
    <t>구            분</t>
    <phoneticPr fontId="4" type="noConversion"/>
  </si>
  <si>
    <t>금    액</t>
    <phoneticPr fontId="4" type="noConversion"/>
  </si>
  <si>
    <t>비           고</t>
    <phoneticPr fontId="4" type="noConversion"/>
  </si>
  <si>
    <t>총계</t>
    <phoneticPr fontId="4" type="noConversion"/>
  </si>
  <si>
    <t xml:space="preserve"> ※생활보장급여 입소 현인원 </t>
    <phoneticPr fontId="4" type="noConversion"/>
  </si>
  <si>
    <t>위로금</t>
    <phoneticPr fontId="4" type="noConversion"/>
  </si>
  <si>
    <t>특별위로금</t>
    <phoneticPr fontId="4" type="noConversion"/>
  </si>
  <si>
    <t>2회</t>
    <phoneticPr fontId="4" type="noConversion"/>
  </si>
  <si>
    <t>주부식비</t>
    <phoneticPr fontId="4" type="noConversion"/>
  </si>
  <si>
    <t>12회</t>
    <phoneticPr fontId="4" type="noConversion"/>
  </si>
  <si>
    <t>월동대책비</t>
    <phoneticPr fontId="4" type="noConversion"/>
  </si>
  <si>
    <t>1회</t>
    <phoneticPr fontId="4" type="noConversion"/>
  </si>
  <si>
    <t>1월</t>
    <phoneticPr fontId="4" type="noConversion"/>
  </si>
  <si>
    <t>원</t>
    <phoneticPr fontId="4" type="noConversion"/>
  </si>
  <si>
    <t>×</t>
    <phoneticPr fontId="4" type="noConversion"/>
  </si>
  <si>
    <t>명</t>
    <phoneticPr fontId="4" type="noConversion"/>
  </si>
  <si>
    <t>일</t>
    <phoneticPr fontId="4" type="noConversion"/>
  </si>
  <si>
    <t>=</t>
    <phoneticPr fontId="4" type="noConversion"/>
  </si>
  <si>
    <t>개월</t>
    <phoneticPr fontId="4" type="noConversion"/>
  </si>
  <si>
    <t>동내의</t>
    <phoneticPr fontId="4" type="noConversion"/>
  </si>
  <si>
    <t>회</t>
    <phoneticPr fontId="4" type="noConversion"/>
  </si>
  <si>
    <t>2월</t>
    <phoneticPr fontId="4" type="noConversion"/>
  </si>
  <si>
    <t xml:space="preserve"> 설지급</t>
    <phoneticPr fontId="4" type="noConversion"/>
  </si>
  <si>
    <t>3월</t>
    <phoneticPr fontId="4" type="noConversion"/>
  </si>
  <si>
    <t>4월</t>
    <phoneticPr fontId="4" type="noConversion"/>
  </si>
  <si>
    <t>주부식비
피복비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</si>
  <si>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</si>
  <si>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</si>
  <si>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</si>
  <si>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</si>
  <si>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</si>
  <si>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 xml:space="preserve"> 추석지급</t>
    <phoneticPr fontId="4" type="noConversion"/>
  </si>
  <si>
    <t>10월</t>
    <phoneticPr fontId="4" type="noConversion"/>
  </si>
  <si>
    <t xml:space="preserve"> 10월 지급 </t>
    <phoneticPr fontId="4" type="noConversion"/>
  </si>
  <si>
    <t xml:space="preserve"> 10월 지급</t>
    <phoneticPr fontId="4" type="noConversion"/>
  </si>
  <si>
    <t>11월</t>
    <phoneticPr fontId="4" type="noConversion"/>
  </si>
  <si>
    <t>12월</t>
    <phoneticPr fontId="4" type="noConversion"/>
  </si>
  <si>
    <t xml:space="preserve"> ※ '장애인복지시설 입소자지원(4종)'산출내역표</t>
  </si>
  <si>
    <t>산     출     내     역</t>
    <phoneticPr fontId="4" type="noConversion"/>
  </si>
  <si>
    <t>금   액</t>
    <phoneticPr fontId="4" type="noConversion"/>
  </si>
  <si>
    <t>비   고</t>
    <phoneticPr fontId="4" type="noConversion"/>
  </si>
  <si>
    <t>소                                                  계</t>
    <phoneticPr fontId="4" type="noConversion"/>
  </si>
  <si>
    <t>입소자부식비</t>
    <phoneticPr fontId="4" type="noConversion"/>
  </si>
  <si>
    <t>1 월</t>
    <phoneticPr fontId="4" type="noConversion"/>
  </si>
  <si>
    <t>2 월</t>
    <phoneticPr fontId="4" type="noConversion"/>
  </si>
  <si>
    <t>3 월</t>
    <phoneticPr fontId="4" type="noConversion"/>
  </si>
  <si>
    <t>4 월</t>
    <phoneticPr fontId="4" type="noConversion"/>
  </si>
  <si>
    <t>5 월</t>
    <phoneticPr fontId="4" type="noConversion"/>
  </si>
  <si>
    <t>6 월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</si>
  <si>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</si>
  <si>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</si>
  <si>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</si>
  <si>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</si>
  <si>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</si>
  <si>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</si>
  <si>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입소자간식비</t>
    <phoneticPr fontId="4" type="noConversion"/>
  </si>
  <si>
    <t>입소자피복비
및 특별급식비</t>
    <phoneticPr fontId="4" type="noConversion"/>
  </si>
  <si>
    <t>특별
급식비</t>
    <phoneticPr fontId="4" type="noConversion"/>
  </si>
  <si>
    <t>설날</t>
    <phoneticPr fontId="4" type="noConversion"/>
  </si>
  <si>
    <t>장애인
의날</t>
    <phoneticPr fontId="4" type="noConversion"/>
  </si>
  <si>
    <t>추석</t>
    <phoneticPr fontId="4" type="noConversion"/>
  </si>
  <si>
    <t>연말</t>
    <phoneticPr fontId="4" type="noConversion"/>
  </si>
  <si>
    <t>입소자
건강진단비</t>
    <phoneticPr fontId="4" type="noConversion"/>
  </si>
  <si>
    <t>년1회</t>
    <phoneticPr fontId="4" type="noConversion"/>
  </si>
  <si>
    <t>7종인건비</t>
    <phoneticPr fontId="4" type="noConversion"/>
  </si>
  <si>
    <t>4종(100%)</t>
    <phoneticPr fontId="4" type="noConversion"/>
  </si>
  <si>
    <t>기능보강사업비</t>
    <phoneticPr fontId="4" type="noConversion"/>
  </si>
  <si>
    <t>차량운영비</t>
  </si>
  <si>
    <t>간병인비</t>
  </si>
  <si>
    <t>인건비(70%)</t>
    <phoneticPr fontId="4" type="noConversion"/>
  </si>
  <si>
    <t>관리운영비(70%)</t>
    <phoneticPr fontId="4" type="noConversion"/>
  </si>
  <si>
    <t>생계비(70%)</t>
    <phoneticPr fontId="4" type="noConversion"/>
  </si>
  <si>
    <t>기능보강사업비(50%)</t>
    <phoneticPr fontId="4" type="noConversion"/>
  </si>
  <si>
    <t>인건비(30%)</t>
    <phoneticPr fontId="4" type="noConversion"/>
  </si>
  <si>
    <t>관리운영비(30%)</t>
    <phoneticPr fontId="4" type="noConversion"/>
  </si>
  <si>
    <t>생계비(30%)</t>
    <phoneticPr fontId="4" type="noConversion"/>
  </si>
  <si>
    <t>다. 세   입</t>
    <phoneticPr fontId="4" type="noConversion"/>
  </si>
  <si>
    <t xml:space="preserve">    3) 후원금세입내역</t>
    <phoneticPr fontId="4" type="noConversion"/>
  </si>
  <si>
    <t>증감(B-A)</t>
    <phoneticPr fontId="4" type="noConversion"/>
  </si>
  <si>
    <t>산    출    내    역</t>
    <phoneticPr fontId="4" type="noConversion"/>
  </si>
  <si>
    <t>총                            계</t>
    <phoneticPr fontId="4" type="noConversion"/>
  </si>
  <si>
    <t>* 차량구입 지정후원 :         12,400,000원
* 재활프로그램 지정후원 :     3,280,000원
* 결연후원금 :                     2,820,000원
* 재난복구지정후원(법인) :  20,000,000원</t>
    <phoneticPr fontId="4" type="noConversion"/>
  </si>
  <si>
    <t>* 월평균 28,333,333원*12월</t>
    <phoneticPr fontId="4" type="noConversion"/>
  </si>
  <si>
    <t>차입금</t>
    <phoneticPr fontId="4" type="noConversion"/>
  </si>
  <si>
    <t>금융기관차입</t>
    <phoneticPr fontId="4" type="noConversion"/>
  </si>
  <si>
    <t>기타차입금</t>
    <phoneticPr fontId="4" type="noConversion"/>
  </si>
  <si>
    <t xml:space="preserve"> * 비지정후원금 이월금    (18,629,586원),
 * 지정후원금 이월금       (  3,008,670원), 
 * 후원금예금이자 이월금 (    900,000원).</t>
    <phoneticPr fontId="4" type="noConversion"/>
  </si>
  <si>
    <t xml:space="preserve">    2) 자부담세입내역</t>
    <phoneticPr fontId="4" type="noConversion"/>
  </si>
  <si>
    <t>실비인원 32명*350,000원*12개월=134,400,000원</t>
    <phoneticPr fontId="4" type="noConversion"/>
  </si>
  <si>
    <t>* 입소비용수입 이월금( 9,105,019원)
* 법인전입금 이월금   ( 3,080,563원)
* 종사자식대 이월금   ( 2,970,859원)
* 기타 잡수입 이월금  ( 7,098,481원)
* 예금이자 이월금      (   178,200원)</t>
    <phoneticPr fontId="4" type="noConversion"/>
  </si>
  <si>
    <t xml:space="preserve"> 종사자급식비34,000,000/ 임대료(SK,LG) 6,050,000/
 기타 19,000,000</t>
    <phoneticPr fontId="4" type="noConversion"/>
  </si>
  <si>
    <t xml:space="preserve">    1) 보조금세입내역</t>
    <phoneticPr fontId="4" type="noConversion"/>
  </si>
  <si>
    <t>국고보조금(70%)</t>
    <phoneticPr fontId="4" type="noConversion"/>
  </si>
  <si>
    <t>소  계</t>
    <phoneticPr fontId="4" type="noConversion"/>
  </si>
  <si>
    <t>* 인    건    비(70%) :   1,762,166,875원
* 관 리 운 영 비(70%) :     71,270,500원
* 생    계    비(70%) :        98,517,440원
* 기능보강사업비(50%) :    1,049,400원</t>
    <phoneticPr fontId="4" type="noConversion"/>
  </si>
  <si>
    <t>시도보조금(30%)</t>
    <phoneticPr fontId="4" type="noConversion"/>
  </si>
  <si>
    <t>* 인  건  비 (30%)  :       646,119,303원
* 관리운영비 (30%) :       30,544,500원
* 생  계  비 (30%)  :         42,221,760원
* 기능보강사업(50%) :       1,049,400원</t>
    <phoneticPr fontId="4" type="noConversion"/>
  </si>
  <si>
    <t>기타보조금</t>
    <phoneticPr fontId="4" type="noConversion"/>
  </si>
  <si>
    <t xml:space="preserve">
* 운영비 이월금 :                 5,003,680원
* 운영비 예금이자 이월금 :      162,040원
* 생계비 예금이자 이월금 :         4,280원
</t>
    <phoneticPr fontId="4" type="noConversion"/>
  </si>
  <si>
    <t>다-1. 세   입</t>
    <phoneticPr fontId="4" type="noConversion"/>
  </si>
  <si>
    <t>세목</t>
    <phoneticPr fontId="4" type="noConversion"/>
  </si>
  <si>
    <t>시도보조금</t>
    <phoneticPr fontId="4" type="noConversion"/>
  </si>
  <si>
    <t>* 7종 인건비 보조금  : 134,853,900원
* 연장추가지원수당 :  26,480,700원</t>
    <phoneticPr fontId="4" type="noConversion"/>
  </si>
  <si>
    <t>2020년 재활프로그램 중증장애인의 직업능력개발을 위한 목공프로그램 “우드잡 woodjob” 선정</t>
    <phoneticPr fontId="4" type="noConversion"/>
  </si>
  <si>
    <t>* 7종 보조금 이월금 :                 1,231,470원
* 7종 예금이자 이월금 :                  11,940원
* 4종 보조금 이월금 :                      40,000원
* 4종 예금이자 이월금 :                     6,190원
* 재활프로그램 예금이자 이월금:        3,400원
* 추가지원 보조금 이월금 :           1,690,580원
* 추가지원 예금이자 이월금 :              4,460원
* 기능보강 이월금 :                         341,740원
* 기능보강 예금이자 이월금 :             13,410원</t>
    <phoneticPr fontId="4" type="noConversion"/>
  </si>
  <si>
    <t>라. 세   출</t>
    <phoneticPr fontId="4" type="noConversion"/>
  </si>
  <si>
    <t xml:space="preserve">    1) 보조금 세출내역  </t>
    <phoneticPr fontId="4" type="noConversion"/>
  </si>
  <si>
    <t xml:space="preserve">산     출     내     역 </t>
    <phoneticPr fontId="4" type="noConversion"/>
  </si>
  <si>
    <t>80명기준</t>
    <phoneticPr fontId="4" type="noConversion"/>
  </si>
  <si>
    <t>실수령액기준</t>
    <phoneticPr fontId="4" type="noConversion"/>
  </si>
  <si>
    <t>총                     계</t>
    <phoneticPr fontId="4" type="noConversion"/>
  </si>
  <si>
    <t>운영비합계액</t>
    <phoneticPr fontId="4" type="noConversion"/>
  </si>
  <si>
    <t xml:space="preserve"> 종사자인건비 총계표 참조</t>
    <phoneticPr fontId="4" type="noConversion"/>
  </si>
  <si>
    <t>명절휴가비</t>
    <phoneticPr fontId="4" type="noConversion"/>
  </si>
  <si>
    <t>연장근로수당</t>
    <phoneticPr fontId="4" type="noConversion"/>
  </si>
  <si>
    <t>가족수당</t>
    <phoneticPr fontId="4" type="noConversion"/>
  </si>
  <si>
    <t>퇴직적립금</t>
    <phoneticPr fontId="4" type="noConversion"/>
  </si>
  <si>
    <t>사회보험부담금</t>
    <phoneticPr fontId="4" type="noConversion"/>
  </si>
  <si>
    <t>건강보험     부담금</t>
    <phoneticPr fontId="4" type="noConversion"/>
  </si>
  <si>
    <t xml:space="preserve">건강보험보험료 : 2,124,498,180원*3.335% = 70,852,020원
장기요양보험료 :        70,852,020*10.25% =  7,262,340원                                             </t>
    <phoneticPr fontId="4" type="noConversion"/>
  </si>
  <si>
    <t>국민연금    부담금</t>
    <phoneticPr fontId="4" type="noConversion"/>
  </si>
  <si>
    <t>국민연금보험료 : 1,819,575,080원*4.5% = 81,880,880원</t>
    <phoneticPr fontId="4" type="noConversion"/>
  </si>
  <si>
    <t>고용보험     부담금</t>
    <phoneticPr fontId="4" type="noConversion"/>
  </si>
  <si>
    <t>고용보험료 : 1,763,741,030원*0.9% = 15,873,670원</t>
    <phoneticPr fontId="4" type="noConversion"/>
  </si>
  <si>
    <t>산재보험     부담금</t>
    <phoneticPr fontId="4" type="noConversion"/>
  </si>
  <si>
    <t>산재보험료 : 1,763,741,030원*0.8%=</t>
    <phoneticPr fontId="4" type="noConversion"/>
  </si>
  <si>
    <t>14,109,930원</t>
    <phoneticPr fontId="4" type="noConversion"/>
  </si>
  <si>
    <t>업무        추진비</t>
    <phoneticPr fontId="4" type="noConversion"/>
  </si>
  <si>
    <t>기관운영비</t>
    <phoneticPr fontId="4" type="noConversion"/>
  </si>
  <si>
    <t>직책보조비</t>
    <phoneticPr fontId="4" type="noConversion"/>
  </si>
  <si>
    <t xml:space="preserve"> 인권지킴이단 회의비</t>
    <phoneticPr fontId="4" type="noConversion"/>
  </si>
  <si>
    <t xml:space="preserve"> </t>
    <phoneticPr fontId="4" type="noConversion"/>
  </si>
  <si>
    <t>수용비및
수수료</t>
    <phoneticPr fontId="4" type="noConversion"/>
  </si>
  <si>
    <t xml:space="preserve"> 사무용품비, 인쇄비, 수수료 등</t>
    <phoneticPr fontId="4" type="noConversion"/>
  </si>
  <si>
    <t xml:space="preserve"> 수도료,전기료,우편료,전화료,운송료 등</t>
    <phoneticPr fontId="4" type="noConversion"/>
  </si>
  <si>
    <t xml:space="preserve"> 화재, 음식물, 영업배상책임, 자동차보험료 등</t>
    <phoneticPr fontId="4" type="noConversion"/>
  </si>
  <si>
    <t>화재보험료</t>
    <phoneticPr fontId="4" type="noConversion"/>
  </si>
  <si>
    <t xml:space="preserve"> 소멸성 보험에 가입</t>
    <phoneticPr fontId="4" type="noConversion"/>
  </si>
  <si>
    <t>상해보험료</t>
    <phoneticPr fontId="4" type="noConversion"/>
  </si>
  <si>
    <t>실제 운행중인 업무용 차량 연료 및 소모품 교체등</t>
    <phoneticPr fontId="4" type="noConversion"/>
  </si>
  <si>
    <t>전자결재시스템구축을 위한NAS구입</t>
    <phoneticPr fontId="4" type="noConversion"/>
  </si>
  <si>
    <t>시설장비           유지비</t>
    <phoneticPr fontId="4" type="noConversion"/>
  </si>
  <si>
    <t>건물유지비</t>
    <phoneticPr fontId="4" type="noConversion"/>
  </si>
  <si>
    <t xml:space="preserve"> 건물 유지 관리비 </t>
    <phoneticPr fontId="4" type="noConversion"/>
  </si>
  <si>
    <t xml:space="preserve"> 37,300원 X 47명 X 1회 / 36,300원 X 48명 X 1회 (설,추석)지급</t>
    <phoneticPr fontId="4" type="noConversion"/>
  </si>
  <si>
    <t xml:space="preserve"> 236,251원 X 47명 X 3회 / 229,504원 X 48명 X 9회</t>
    <phoneticPr fontId="4" type="noConversion"/>
  </si>
  <si>
    <t xml:space="preserve"> 33,075원 X 48명 X 1회</t>
    <phoneticPr fontId="4" type="noConversion"/>
  </si>
  <si>
    <t>수용기관경비</t>
    <phoneticPr fontId="4" type="noConversion"/>
  </si>
  <si>
    <t>위생재료비</t>
    <phoneticPr fontId="4" type="noConversion"/>
  </si>
  <si>
    <t xml:space="preserve"> 장애인의 위생관리를 위한 용품 구입비 등 </t>
    <phoneticPr fontId="4" type="noConversion"/>
  </si>
  <si>
    <t>일상용품비</t>
    <phoneticPr fontId="4" type="noConversion"/>
  </si>
  <si>
    <t xml:space="preserve"> 일상 생활용품 경비</t>
    <phoneticPr fontId="4" type="noConversion"/>
  </si>
  <si>
    <t>사회심리
재활사업비</t>
    <phoneticPr fontId="4" type="noConversion"/>
  </si>
  <si>
    <t>여행경비등</t>
    <phoneticPr fontId="4" type="noConversion"/>
  </si>
  <si>
    <t>코로나19로 인한 외부활동 축소</t>
    <phoneticPr fontId="4" type="noConversion"/>
  </si>
  <si>
    <t>기 능 보 강   사업비</t>
    <phoneticPr fontId="4" type="noConversion"/>
  </si>
  <si>
    <t>공기청정기 지원사업선정에 따른 차액발생</t>
    <phoneticPr fontId="4" type="noConversion"/>
  </si>
  <si>
    <t>보조금반환</t>
    <phoneticPr fontId="4" type="noConversion"/>
  </si>
  <si>
    <t>라-1. 세   출</t>
    <phoneticPr fontId="4" type="noConversion"/>
  </si>
  <si>
    <t xml:space="preserve">    2) 보조금 세출내역  </t>
    <phoneticPr fontId="4" type="noConversion"/>
  </si>
  <si>
    <t>7종</t>
    <phoneticPr fontId="4" type="noConversion"/>
  </si>
  <si>
    <t>종사자인건비 총계표 참조</t>
    <phoneticPr fontId="4" type="noConversion"/>
  </si>
  <si>
    <t>연장추가
지원수당</t>
    <phoneticPr fontId="4" type="noConversion"/>
  </si>
  <si>
    <t>7종운영지원사업비</t>
    <phoneticPr fontId="4" type="noConversion"/>
  </si>
  <si>
    <t>차량운영비</t>
    <phoneticPr fontId="4" type="noConversion"/>
  </si>
  <si>
    <t xml:space="preserve"> 300,000원 X 12개월 = 3,600,000원</t>
    <phoneticPr fontId="4" type="noConversion"/>
  </si>
  <si>
    <t>환경개선사업</t>
    <phoneticPr fontId="4" type="noConversion"/>
  </si>
  <si>
    <t xml:space="preserve"> 7,000,000원 X 1개소 = 7,000,000원</t>
    <phoneticPr fontId="4" type="noConversion"/>
  </si>
  <si>
    <t>간병인비</t>
    <phoneticPr fontId="4" type="noConversion"/>
  </si>
  <si>
    <t>200,000원*15회=3,000,000원</t>
    <phoneticPr fontId="4" type="noConversion"/>
  </si>
  <si>
    <t>4종운영지원사업비</t>
    <phoneticPr fontId="4" type="noConversion"/>
  </si>
  <si>
    <t>입소자              부식비</t>
    <phoneticPr fontId="4" type="noConversion"/>
  </si>
  <si>
    <t xml:space="preserve"> 500원 X 80명 X 365일  </t>
    <phoneticPr fontId="4" type="noConversion"/>
  </si>
  <si>
    <t>입소자           간식비</t>
    <phoneticPr fontId="4" type="noConversion"/>
  </si>
  <si>
    <t xml:space="preserve"> 5,000원 X 80명 X 12개월</t>
    <phoneticPr fontId="4" type="noConversion"/>
  </si>
  <si>
    <t>입소자              피복비</t>
    <phoneticPr fontId="4" type="noConversion"/>
  </si>
  <si>
    <t xml:space="preserve"> 20,000원 X 80명 X 4회</t>
    <phoneticPr fontId="4" type="noConversion"/>
  </si>
  <si>
    <t>입소자
특별급식비</t>
    <phoneticPr fontId="4" type="noConversion"/>
  </si>
  <si>
    <t xml:space="preserve"> 12,000원 X 80명 X 4회</t>
    <phoneticPr fontId="4" type="noConversion"/>
  </si>
  <si>
    <t xml:space="preserve"> 40,000원 X 80명 X 1회</t>
    <phoneticPr fontId="4" type="noConversion"/>
  </si>
  <si>
    <t>기능보강     사업비</t>
    <phoneticPr fontId="4" type="noConversion"/>
  </si>
  <si>
    <t>기능보강    사업비</t>
    <phoneticPr fontId="4" type="noConversion"/>
  </si>
  <si>
    <t>코로나19예방을 위한 방역물품 지원</t>
    <phoneticPr fontId="4" type="noConversion"/>
  </si>
  <si>
    <t xml:space="preserve"> 2019년 결산에 의한 보조금 반환액</t>
    <phoneticPr fontId="4" type="noConversion"/>
  </si>
  <si>
    <t>합계액</t>
    <phoneticPr fontId="4" type="noConversion"/>
  </si>
  <si>
    <t xml:space="preserve">    3) 자부담 세출내역  </t>
    <phoneticPr fontId="4" type="noConversion"/>
  </si>
  <si>
    <t>유료입소/이월금</t>
    <phoneticPr fontId="4" type="noConversion"/>
  </si>
  <si>
    <t>법인전입/이월금</t>
    <phoneticPr fontId="4" type="noConversion"/>
  </si>
  <si>
    <t>잡수입/불용품/이월금</t>
    <phoneticPr fontId="4" type="noConversion"/>
  </si>
  <si>
    <t>종사자식대/이월금</t>
    <phoneticPr fontId="4" type="noConversion"/>
  </si>
  <si>
    <t>예금이자/이월금</t>
    <phoneticPr fontId="4" type="noConversion"/>
  </si>
  <si>
    <t>잡수입/이월금</t>
    <phoneticPr fontId="4" type="noConversion"/>
  </si>
  <si>
    <t>종사자/이월금</t>
    <phoneticPr fontId="4" type="noConversion"/>
  </si>
  <si>
    <t>상여금</t>
    <phoneticPr fontId="4" type="noConversion"/>
  </si>
  <si>
    <t>일용잡급</t>
    <phoneticPr fontId="4" type="noConversion"/>
  </si>
  <si>
    <t>가계보조수당</t>
    <phoneticPr fontId="4" type="noConversion"/>
  </si>
  <si>
    <t>교통급식비</t>
    <phoneticPr fontId="4" type="noConversion"/>
  </si>
  <si>
    <t>생활복지사수당</t>
    <phoneticPr fontId="4" type="noConversion"/>
  </si>
  <si>
    <t>생활지도원수당</t>
    <phoneticPr fontId="4" type="noConversion"/>
  </si>
  <si>
    <t>조리.위생수당</t>
    <phoneticPr fontId="4" type="noConversion"/>
  </si>
  <si>
    <t>직책수당</t>
    <phoneticPr fontId="4" type="noConversion"/>
  </si>
  <si>
    <t xml:space="preserve">기관장(300,000원),사무국장(200,000원),
과장(150,000원,2명),팀장(100,000원, 8명) </t>
    <phoneticPr fontId="4" type="noConversion"/>
  </si>
  <si>
    <t>퇴직금및
적립금</t>
    <phoneticPr fontId="4" type="noConversion"/>
  </si>
  <si>
    <t>사회보험
부담비용</t>
    <phoneticPr fontId="4" type="noConversion"/>
  </si>
  <si>
    <t>건강보험부담금</t>
    <phoneticPr fontId="4" type="noConversion"/>
  </si>
  <si>
    <t xml:space="preserve">건강보험보험료 : 19,000,000원*3.335% = 633,650원
장기요양보험료 :     633,650원*10.25% =  64,940원                                             </t>
    <phoneticPr fontId="4" type="noConversion"/>
  </si>
  <si>
    <t>국민연금부담금</t>
    <phoneticPr fontId="4" type="noConversion"/>
  </si>
  <si>
    <t>고용보험부담금</t>
    <phoneticPr fontId="4" type="noConversion"/>
  </si>
  <si>
    <t>고용보험료 : 15,400,000원*0.9% = 138,600원</t>
    <phoneticPr fontId="4" type="noConversion"/>
  </si>
  <si>
    <t>산재보험부담금</t>
    <phoneticPr fontId="4" type="noConversion"/>
  </si>
  <si>
    <t>산재보험료 : 15,400,000원*0.8% = 123,200원</t>
    <phoneticPr fontId="4" type="noConversion"/>
  </si>
  <si>
    <t xml:space="preserve"> 종사자체육대회,기타상해보험,해외연수등복리후생비 등</t>
    <phoneticPr fontId="4" type="noConversion"/>
  </si>
  <si>
    <t>업무
추진비</t>
    <phoneticPr fontId="4" type="noConversion"/>
  </si>
  <si>
    <t>홍보비</t>
    <phoneticPr fontId="4" type="noConversion"/>
  </si>
  <si>
    <t>인권지킴이, 운영위원회등 경비</t>
    <phoneticPr fontId="4" type="noConversion"/>
  </si>
  <si>
    <t>차량 주유비 및 정비료</t>
    <phoneticPr fontId="4" type="noConversion"/>
  </si>
  <si>
    <t>직원근무복, 기타행사비(부활,성탄)</t>
    <phoneticPr fontId="4" type="noConversion"/>
  </si>
  <si>
    <t>시설공사비</t>
    <phoneticPr fontId="4" type="noConversion"/>
  </si>
  <si>
    <t xml:space="preserve">음식물처리기,10년이상 사용된 노후설비기구 교체비용 </t>
    <phoneticPr fontId="4" type="noConversion"/>
  </si>
  <si>
    <t>시설장비
유지비</t>
    <phoneticPr fontId="4" type="noConversion"/>
  </si>
  <si>
    <t>생활동 방수공사등 노후설비보강</t>
    <phoneticPr fontId="4" type="noConversion"/>
  </si>
  <si>
    <t>거주인 생계비 : 7,083,330원*12월=85,000,000원</t>
    <phoneticPr fontId="4" type="noConversion"/>
  </si>
  <si>
    <t>거주인 피복구입비 : 2,000,000원*2회=4,000,000원</t>
    <phoneticPr fontId="4" type="noConversion"/>
  </si>
  <si>
    <t>수용기관경비 250,000원*12월=3,000,000원</t>
    <phoneticPr fontId="4" type="noConversion"/>
  </si>
  <si>
    <t>일상용품구입비 833,330원*12월=10,000,000원</t>
    <phoneticPr fontId="4" type="noConversion"/>
  </si>
  <si>
    <t>직업재활비</t>
    <phoneticPr fontId="4" type="noConversion"/>
  </si>
  <si>
    <t>자활사업비</t>
    <phoneticPr fontId="4" type="noConversion"/>
  </si>
  <si>
    <t>특별급식비</t>
    <phoneticPr fontId="4" type="noConversion"/>
  </si>
  <si>
    <t>교육비</t>
    <phoneticPr fontId="4" type="noConversion"/>
  </si>
  <si>
    <t>수업료</t>
    <phoneticPr fontId="4" type="noConversion"/>
  </si>
  <si>
    <t>학용품비</t>
    <phoneticPr fontId="4" type="noConversion"/>
  </si>
  <si>
    <t>도서구입비</t>
    <phoneticPr fontId="4" type="noConversion"/>
  </si>
  <si>
    <t>교통비</t>
    <phoneticPr fontId="4" type="noConversion"/>
  </si>
  <si>
    <t>급식비</t>
    <phoneticPr fontId="4" type="noConversion"/>
  </si>
  <si>
    <t>학습지원비</t>
    <phoneticPr fontId="4" type="noConversion"/>
  </si>
  <si>
    <t>수학여행비</t>
    <phoneticPr fontId="4" type="noConversion"/>
  </si>
  <si>
    <t>교복비</t>
    <phoneticPr fontId="4" type="noConversion"/>
  </si>
  <si>
    <t>이미용비</t>
    <phoneticPr fontId="4" type="noConversion"/>
  </si>
  <si>
    <t>기타교육비</t>
    <phoneticPr fontId="4" type="noConversion"/>
  </si>
  <si>
    <t>의료재활사업비</t>
    <phoneticPr fontId="4" type="noConversion"/>
  </si>
  <si>
    <t xml:space="preserve"> 여행,등산,놀이 등에 소요되는 여비,기구 구입비</t>
    <phoneticPr fontId="4" type="noConversion"/>
  </si>
  <si>
    <t>교육재활사업비</t>
    <phoneticPr fontId="4" type="noConversion"/>
  </si>
  <si>
    <t xml:space="preserve"> 생활장애인의 교육 및 교양함양을 위한 교재/도서 구입비
 (미술,한글교실 등)</t>
    <phoneticPr fontId="4" type="noConversion"/>
  </si>
  <si>
    <t>직업재활
사업비</t>
    <phoneticPr fontId="4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</si>
  <si>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4" type="noConversion"/>
  </si>
  <si>
    <t>재활승마사업비</t>
    <phoneticPr fontId="4" type="noConversion"/>
  </si>
  <si>
    <t>공동모금회사업비</t>
    <phoneticPr fontId="4" type="noConversion"/>
  </si>
  <si>
    <t>예비비</t>
    <phoneticPr fontId="4" type="noConversion"/>
  </si>
  <si>
    <t xml:space="preserve">    4) 후원금 세출내역  </t>
    <phoneticPr fontId="4" type="noConversion"/>
  </si>
  <si>
    <t>직접</t>
    <phoneticPr fontId="4" type="noConversion"/>
  </si>
  <si>
    <t>간접</t>
    <phoneticPr fontId="4" type="noConversion"/>
  </si>
  <si>
    <t>식당보조원 1명(1일 100,000 X 월6일) X 12개월</t>
    <phoneticPr fontId="4" type="noConversion"/>
  </si>
  <si>
    <t>직원 처우개선비에 따른 연장근로수당</t>
    <phoneticPr fontId="4" type="noConversion"/>
  </si>
  <si>
    <t>자가운전보조금</t>
    <phoneticPr fontId="4" type="noConversion"/>
  </si>
  <si>
    <t>특수근무수당(도)</t>
    <phoneticPr fontId="4" type="noConversion"/>
  </si>
  <si>
    <t>처우개선비</t>
    <phoneticPr fontId="4" type="noConversion"/>
  </si>
  <si>
    <t>보전수당</t>
    <phoneticPr fontId="4" type="noConversion"/>
  </si>
  <si>
    <t>보험료산출</t>
    <phoneticPr fontId="4" type="noConversion"/>
  </si>
  <si>
    <t>건강보험
부담금</t>
    <phoneticPr fontId="4" type="noConversion"/>
  </si>
  <si>
    <t xml:space="preserve">건강보험보험료 : 3,000,000원*3.335% = 100,050원
장기요양보험료 :   100,050원*10.25% =  10,260원                                             </t>
    <phoneticPr fontId="4" type="noConversion"/>
  </si>
  <si>
    <t>고용보험
부담금</t>
    <phoneticPr fontId="4" type="noConversion"/>
  </si>
  <si>
    <t>고용보험료 : 5,000,000원*0.9% = 45,000원</t>
    <phoneticPr fontId="4" type="noConversion"/>
  </si>
  <si>
    <t>산재보험
부담금</t>
    <phoneticPr fontId="4" type="noConversion"/>
  </si>
  <si>
    <t>산재보험료 : 5,000,000원*0.8% = 40,000원</t>
    <phoneticPr fontId="4" type="noConversion"/>
  </si>
  <si>
    <t xml:space="preserve"> 직원 동아리지원 및 역량강화훈련비,보수교육비 등 </t>
    <phoneticPr fontId="4" type="noConversion"/>
  </si>
  <si>
    <t xml:space="preserve"> 교육참가비 및 여비 등</t>
    <phoneticPr fontId="4" type="noConversion"/>
  </si>
  <si>
    <t xml:space="preserve"> CMS관리/소모품구입</t>
    <phoneticPr fontId="4" type="noConversion"/>
  </si>
  <si>
    <t xml:space="preserve"> 기관홍보물제작,소식지 제작</t>
    <phoneticPr fontId="4" type="noConversion"/>
  </si>
  <si>
    <t xml:space="preserve"> 전기,전화,수도요금.DM발송,우편물발송요금 등 </t>
    <phoneticPr fontId="4" type="noConversion"/>
  </si>
  <si>
    <t xml:space="preserve"> 음식물배상보험, 가스안전보험, 협회비 보험료 등 </t>
    <phoneticPr fontId="4" type="noConversion"/>
  </si>
  <si>
    <t>기관보유차량 유류비용 및 점검등 유지비용</t>
    <phoneticPr fontId="4" type="noConversion"/>
  </si>
  <si>
    <t>종사자 단체복 구입등</t>
    <phoneticPr fontId="4" type="noConversion"/>
  </si>
  <si>
    <t>재산
조성비</t>
    <phoneticPr fontId="4" type="noConversion"/>
  </si>
  <si>
    <t xml:space="preserve">이용인생활동 가구, 음식물처리기,식기세척기,전기오븐등 10년이상 사용된 노후설비기구 교체비용및 업무용차량 구입할부금 </t>
    <phoneticPr fontId="4" type="noConversion"/>
  </si>
  <si>
    <t xml:space="preserve"> 전기안전점검료, 정화조유지비,승강기유지비 등</t>
    <phoneticPr fontId="4" type="noConversion"/>
  </si>
  <si>
    <t>수용기관
경비</t>
    <phoneticPr fontId="4" type="noConversion"/>
  </si>
  <si>
    <t>장의비</t>
    <phoneticPr fontId="4" type="noConversion"/>
  </si>
  <si>
    <t xml:space="preserve"> 생활장애인의 교육 및 교양함양을 위한 교재/도서 구입비</t>
    <phoneticPr fontId="4" type="noConversion"/>
  </si>
  <si>
    <t>재활프로그램
사업비</t>
    <phoneticPr fontId="4" type="noConversion"/>
  </si>
  <si>
    <t>2020년 재활프로그램 중증장애인의 직업능력개발을 위한 목공프로그램 “우드잡 woodjob” 선정</t>
  </si>
  <si>
    <t xml:space="preserve"> 기능보강사업 직업재활프로그램실 증축공사종료</t>
    <phoneticPr fontId="4" type="noConversion"/>
  </si>
  <si>
    <t>결연
사업비</t>
    <phoneticPr fontId="4" type="noConversion"/>
  </si>
  <si>
    <t>과년도
지출</t>
    <phoneticPr fontId="4" type="noConversion"/>
  </si>
  <si>
    <t>일용직인건비등 2019년 미지급분정산</t>
    <phoneticPr fontId="4" type="noConversion"/>
  </si>
  <si>
    <t>예비비
및기타</t>
    <phoneticPr fontId="4" type="noConversion"/>
  </si>
  <si>
    <t>반환금</t>
    <phoneticPr fontId="4" type="noConversion"/>
  </si>
  <si>
    <t>공동모금회   사업비반환</t>
    <phoneticPr fontId="4" type="noConversion"/>
  </si>
  <si>
    <t>=</t>
  </si>
  <si>
    <t>마. 세입·세출 개요</t>
    <phoneticPr fontId="4" type="noConversion"/>
  </si>
  <si>
    <t>구    분</t>
    <phoneticPr fontId="4" type="noConversion"/>
  </si>
  <si>
    <t>세           입</t>
    <phoneticPr fontId="4" type="noConversion"/>
  </si>
  <si>
    <t>세            출</t>
    <phoneticPr fontId="4" type="noConversion"/>
  </si>
  <si>
    <t>총    계</t>
    <phoneticPr fontId="4" type="noConversion"/>
  </si>
  <si>
    <t>보  조  금</t>
    <phoneticPr fontId="4" type="noConversion"/>
  </si>
  <si>
    <t>-</t>
    <phoneticPr fontId="4" type="noConversion"/>
  </si>
  <si>
    <t>자  부  담</t>
    <phoneticPr fontId="4" type="noConversion"/>
  </si>
  <si>
    <t>입소자부담금수입</t>
    <phoneticPr fontId="4" type="noConversion"/>
  </si>
  <si>
    <t xml:space="preserve">후  원  금 </t>
    <phoneticPr fontId="4" type="noConversion"/>
  </si>
  <si>
    <t>전년도후원금이월금</t>
    <phoneticPr fontId="4" type="noConversion"/>
  </si>
  <si>
    <t>기타보조금</t>
    <phoneticPr fontId="4" type="noConversion"/>
  </si>
  <si>
    <t xml:space="preserve">  바.  증감사유</t>
    <phoneticPr fontId="4" type="noConversion"/>
  </si>
  <si>
    <t>사회심리
재활사업비</t>
    <phoneticPr fontId="5" type="noConversion"/>
  </si>
  <si>
    <t xml:space="preserve"> 세입ㆍ세출 예산서(안)</t>
  </si>
  <si>
    <t>천주교수원교구사회복지회</t>
    <phoneticPr fontId="4" type="noConversion"/>
  </si>
  <si>
    <t>둘 다 섯 해 누 리</t>
    <phoneticPr fontId="4" type="noConversion"/>
  </si>
  <si>
    <t>입사예정</t>
    <phoneticPr fontId="5" type="noConversion"/>
  </si>
  <si>
    <t>21.01 입사</t>
    <phoneticPr fontId="5" type="noConversion"/>
  </si>
  <si>
    <t>건강</t>
    <phoneticPr fontId="5" type="noConversion"/>
  </si>
  <si>
    <t>고용</t>
    <phoneticPr fontId="5" type="noConversion"/>
  </si>
  <si>
    <t>산재</t>
    <phoneticPr fontId="5" type="noConversion"/>
  </si>
  <si>
    <t>비지정후원금</t>
    <phoneticPr fontId="5" type="noConversion"/>
  </si>
  <si>
    <t>지정후원금</t>
    <phoneticPr fontId="5" type="noConversion"/>
  </si>
  <si>
    <t xml:space="preserve"> * 시설당기본지원      : 2,286,000원*30명 = 68,580,000원
 * 생활장애인가중지원 :   635,000원*50명 = 31,750,000원
</t>
    <phoneticPr fontId="4" type="noConversion"/>
  </si>
  <si>
    <t>예금이자</t>
    <phoneticPr fontId="5" type="noConversion"/>
  </si>
  <si>
    <t>기 능 보 강
   사업비</t>
    <phoneticPr fontId="5" type="noConversion"/>
  </si>
  <si>
    <t>재활프로그램
사업비</t>
    <phoneticPr fontId="5" type="noConversion"/>
  </si>
  <si>
    <t>업무추진비</t>
    <phoneticPr fontId="5" type="noConversion"/>
  </si>
  <si>
    <t>사무비운영비</t>
    <phoneticPr fontId="4" type="noConversion"/>
  </si>
  <si>
    <t>사업비운영비</t>
    <phoneticPr fontId="4" type="noConversion"/>
  </si>
  <si>
    <t>-</t>
    <phoneticPr fontId="5" type="noConversion"/>
  </si>
  <si>
    <t>보조금수입</t>
    <phoneticPr fontId="4" type="noConversion"/>
  </si>
  <si>
    <t>사무비운영비</t>
  </si>
  <si>
    <t>사업비운영비</t>
  </si>
  <si>
    <t>증감율(%)
(C/A*100)</t>
    <phoneticPr fontId="4" type="noConversion"/>
  </si>
  <si>
    <t>사. 임직원 보수 일람표(교대인력 인건비)</t>
    <phoneticPr fontId="4" type="noConversion"/>
  </si>
  <si>
    <t>이동철</t>
  </si>
  <si>
    <t>박은혜</t>
  </si>
  <si>
    <t>시설장</t>
    <phoneticPr fontId="7" type="noConversion"/>
  </si>
  <si>
    <t>이기수</t>
    <phoneticPr fontId="7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</si>
  <si>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</si>
  <si>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</si>
  <si>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</si>
  <si>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</si>
  <si>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김정윤</t>
    <phoneticPr fontId="7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</si>
  <si>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</si>
  <si>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</si>
  <si>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</si>
  <si>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</si>
  <si>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</si>
  <si>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간호사</t>
    <phoneticPr fontId="7" type="noConversion"/>
  </si>
  <si>
    <t>언어치료사</t>
    <phoneticPr fontId="7" type="noConversion"/>
  </si>
  <si>
    <t>최민성</t>
    <phoneticPr fontId="7" type="noConversion"/>
  </si>
  <si>
    <t>작업치료사</t>
    <phoneticPr fontId="7" type="noConversion"/>
  </si>
  <si>
    <t>이민지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</si>
  <si>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</si>
  <si>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</si>
  <si>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</si>
  <si>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</si>
  <si>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</si>
  <si>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</si>
  <si>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</si>
  <si>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</si>
  <si>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</si>
  <si>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</si>
  <si>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</si>
  <si>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</si>
  <si>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</si>
  <si>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</si>
  <si>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</si>
  <si>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</si>
  <si>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문슬기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</si>
  <si>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</si>
  <si>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</si>
  <si>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</si>
  <si>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</si>
  <si>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</si>
  <si>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</si>
  <si>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</si>
  <si>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임지혜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</si>
  <si>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</si>
  <si>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</si>
  <si>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</si>
  <si>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이충현</t>
    <phoneticPr fontId="7" type="noConversion"/>
  </si>
  <si>
    <t>박은혜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</si>
  <si>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</si>
  <si>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</si>
  <si>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</si>
  <si>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정택진</t>
    <phoneticPr fontId="7" type="noConversion"/>
  </si>
  <si>
    <t>위생원</t>
    <phoneticPr fontId="7" type="noConversion"/>
  </si>
  <si>
    <t>이순옥</t>
    <phoneticPr fontId="7" type="noConversion"/>
  </si>
  <si>
    <t>조리원</t>
    <phoneticPr fontId="7" type="noConversion"/>
  </si>
  <si>
    <t>정순정</t>
    <phoneticPr fontId="7" type="noConversion"/>
  </si>
  <si>
    <t>최미란</t>
    <phoneticPr fontId="7" type="noConversion"/>
  </si>
  <si>
    <t>촉탁의</t>
    <phoneticPr fontId="7" type="noConversion"/>
  </si>
  <si>
    <t>박제석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</si>
  <si>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</si>
  <si>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</si>
  <si>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</si>
  <si>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</si>
  <si>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</si>
  <si>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</si>
  <si>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</si>
  <si>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</si>
  <si>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</si>
  <si>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</si>
  <si>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</si>
  <si>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X</t>
    <phoneticPr fontId="4" type="noConversion"/>
  </si>
  <si>
    <t>(7종)</t>
  </si>
  <si>
    <t>(교대)</t>
  </si>
  <si>
    <t>예비</t>
  </si>
  <si>
    <t>주말조리원</t>
  </si>
  <si>
    <t>한정숙</t>
  </si>
  <si>
    <t>명절휴가비</t>
  </si>
  <si>
    <t>가족수당</t>
  </si>
  <si>
    <t>연장수당</t>
  </si>
  <si>
    <t>X</t>
  </si>
  <si>
    <t>직책수당</t>
  </si>
  <si>
    <t>개인별 시간외 시급계산 : 기본급X1/209X1.5</t>
  </si>
  <si>
    <t>연장추가지원수당</t>
  </si>
  <si>
    <t>보조금</t>
  </si>
  <si>
    <t>자부담</t>
  </si>
  <si>
    <t>1/12</t>
  </si>
  <si>
    <t>국민연금</t>
  </si>
  <si>
    <t>건강보험</t>
  </si>
  <si>
    <t>장기요양</t>
  </si>
  <si>
    <t>산재보험</t>
  </si>
  <si>
    <t>고용보험</t>
  </si>
  <si>
    <t>◆급여</t>
  </si>
  <si>
    <t>◆일용잡급</t>
  </si>
  <si>
    <t>◆제수당</t>
  </si>
  <si>
    <t>◆퇴직적립금</t>
  </si>
  <si>
    <t>◆사회보험부담비용</t>
  </si>
  <si>
    <t>◆기타후생경비</t>
  </si>
  <si>
    <t>인건비계</t>
  </si>
  <si>
    <t>사무비계</t>
  </si>
  <si>
    <t>합계</t>
  </si>
  <si>
    <t>업무추진비계</t>
  </si>
  <si>
    <t>운영비계</t>
  </si>
  <si>
    <t>종사자간식제공</t>
    <phoneticPr fontId="7" type="noConversion"/>
  </si>
  <si>
    <t>설,추석명절선물구입</t>
    <phoneticPr fontId="7" type="noConversion"/>
  </si>
  <si>
    <t>종사자보증보험가입</t>
    <phoneticPr fontId="7" type="noConversion"/>
  </si>
  <si>
    <t>기관다리어리구입비용</t>
    <phoneticPr fontId="7" type="noConversion"/>
  </si>
  <si>
    <t>상하반기워크숍경비</t>
    <phoneticPr fontId="7" type="noConversion"/>
  </si>
  <si>
    <t>직원단체상해공제</t>
    <phoneticPr fontId="7" type="noConversion"/>
  </si>
  <si>
    <t>직원체육대회경비</t>
    <phoneticPr fontId="7" type="noConversion"/>
  </si>
  <si>
    <t>기타후생경비</t>
    <phoneticPr fontId="7" type="noConversion"/>
  </si>
  <si>
    <t>내방객접대용 차류구입</t>
    <phoneticPr fontId="7" type="noConversion"/>
  </si>
  <si>
    <t>인권지킴이단 회의비</t>
  </si>
  <si>
    <t>운영위원회 회의비</t>
  </si>
  <si>
    <t>종사자보수교육등  교육참가비</t>
    <phoneticPr fontId="7" type="noConversion"/>
  </si>
  <si>
    <t>공기청정기임대료</t>
    <phoneticPr fontId="7" type="noConversion"/>
  </si>
  <si>
    <t>기관안마의자 임대료(2대)</t>
    <phoneticPr fontId="7" type="noConversion"/>
  </si>
  <si>
    <t>전자결재유지비용</t>
    <phoneticPr fontId="7" type="noConversion"/>
  </si>
  <si>
    <t>기관홈페이지유지보수비용</t>
    <phoneticPr fontId="7" type="noConversion"/>
  </si>
  <si>
    <t>기관소식지제작비용</t>
    <phoneticPr fontId="7" type="noConversion"/>
  </si>
  <si>
    <t>기관소봉투인쇄비용</t>
    <phoneticPr fontId="7" type="noConversion"/>
  </si>
  <si>
    <t>기관내극장상영용 영화구입</t>
    <phoneticPr fontId="7" type="noConversion"/>
  </si>
  <si>
    <t>후원자 감사문자알림문자구입</t>
    <phoneticPr fontId="7" type="noConversion"/>
  </si>
  <si>
    <t>종량제 봉투및폐기물스티커등구입</t>
    <phoneticPr fontId="7" type="noConversion"/>
  </si>
  <si>
    <t>CMS사용료 및 수수료</t>
    <phoneticPr fontId="7" type="noConversion"/>
  </si>
  <si>
    <t>퇴직연금운용수수료</t>
    <phoneticPr fontId="7" type="noConversion"/>
  </si>
  <si>
    <t>전기요금</t>
    <phoneticPr fontId="7" type="noConversion"/>
  </si>
  <si>
    <t>수도요금</t>
    <phoneticPr fontId="7" type="noConversion"/>
  </si>
  <si>
    <t>전화요금</t>
    <phoneticPr fontId="7" type="noConversion"/>
  </si>
  <si>
    <t>인터넷요금</t>
    <phoneticPr fontId="7" type="noConversion"/>
  </si>
  <si>
    <t>소식지발송요금</t>
    <phoneticPr fontId="7" type="noConversion"/>
  </si>
  <si>
    <t>가정통신문들 우편물발송요금</t>
    <phoneticPr fontId="7" type="noConversion"/>
  </si>
  <si>
    <t>한장협협회비</t>
    <phoneticPr fontId="7" type="noConversion"/>
  </si>
  <si>
    <t>경장협협회비</t>
    <phoneticPr fontId="7" type="noConversion"/>
  </si>
  <si>
    <t>기관종합안전배상공제보험</t>
    <phoneticPr fontId="7" type="noConversion"/>
  </si>
  <si>
    <t>화재보험료</t>
    <phoneticPr fontId="7" type="noConversion"/>
  </si>
  <si>
    <t>기관차량자동차세</t>
    <phoneticPr fontId="7" type="noConversion"/>
  </si>
  <si>
    <t>기타제세공과금</t>
    <phoneticPr fontId="7" type="noConversion"/>
  </si>
  <si>
    <t>기관차량주유비</t>
    <phoneticPr fontId="7" type="noConversion"/>
  </si>
  <si>
    <t>기관차량정비</t>
    <phoneticPr fontId="7" type="noConversion"/>
  </si>
  <si>
    <t>종사자 근무복</t>
    <phoneticPr fontId="7" type="noConversion"/>
  </si>
  <si>
    <t>개원기념행사</t>
    <phoneticPr fontId="7" type="noConversion"/>
  </si>
  <si>
    <t>외부출장소요경비</t>
    <phoneticPr fontId="7" type="noConversion"/>
  </si>
  <si>
    <t>스타렉스할부금</t>
    <phoneticPr fontId="7" type="noConversion"/>
  </si>
  <si>
    <t>이용인 거주공간개선 가구구입</t>
    <phoneticPr fontId="7" type="noConversion"/>
  </si>
  <si>
    <t>기타장비구입예정</t>
    <phoneticPr fontId="7" type="noConversion"/>
  </si>
  <si>
    <t>모닝할부금</t>
  </si>
  <si>
    <t>매월 오수처리비용</t>
    <phoneticPr fontId="7" type="noConversion"/>
  </si>
  <si>
    <t>전기안전점검비용</t>
    <phoneticPr fontId="7" type="noConversion"/>
  </si>
  <si>
    <t>엘리베이터유지보수비용</t>
    <phoneticPr fontId="7" type="noConversion"/>
  </si>
  <si>
    <t>건물방역소독비용</t>
    <phoneticPr fontId="7" type="noConversion"/>
  </si>
  <si>
    <t>기관생활동노후설비교체보수</t>
    <phoneticPr fontId="7" type="noConversion"/>
  </si>
  <si>
    <t>냉난방기기보수비용</t>
    <phoneticPr fontId="7" type="noConversion"/>
  </si>
  <si>
    <t>소방작동기능점검</t>
    <phoneticPr fontId="7" type="noConversion"/>
  </si>
  <si>
    <t>노후시설물유지보수비용</t>
    <phoneticPr fontId="7" type="noConversion"/>
  </si>
  <si>
    <t>지열시스템유지보수비</t>
    <phoneticPr fontId="7" type="noConversion"/>
  </si>
  <si>
    <t xml:space="preserve"> 이용인주부식비</t>
    <phoneticPr fontId="7" type="noConversion"/>
  </si>
  <si>
    <t>이용인간식비</t>
    <phoneticPr fontId="7" type="noConversion"/>
  </si>
  <si>
    <t>◆회의비</t>
  </si>
  <si>
    <t>◆여비</t>
  </si>
  <si>
    <t>◆수용비및수수료</t>
  </si>
  <si>
    <t>◆공공요금</t>
  </si>
  <si>
    <t>◆제세공과금</t>
  </si>
  <si>
    <t>◆차량비</t>
  </si>
  <si>
    <t>◆기타운영비</t>
  </si>
  <si>
    <t>◆시설비</t>
  </si>
  <si>
    <t>◆자산취득비</t>
  </si>
  <si>
    <t>◆시설장비유지비</t>
  </si>
  <si>
    <t>◆생계비</t>
  </si>
  <si>
    <t>이용인 생활용품구입</t>
    <phoneticPr fontId="7" type="noConversion"/>
  </si>
  <si>
    <t>식당위생물품구입</t>
    <phoneticPr fontId="7" type="noConversion"/>
  </si>
  <si>
    <t>기타일상용품구입</t>
    <phoneticPr fontId="7" type="noConversion"/>
  </si>
  <si>
    <t>◆수용기관경비</t>
  </si>
  <si>
    <t>사업비계</t>
  </si>
  <si>
    <t>이용인피복구입</t>
    <phoneticPr fontId="7" type="noConversion"/>
  </si>
  <si>
    <t>이용인의약품구입</t>
    <phoneticPr fontId="7" type="noConversion"/>
  </si>
  <si>
    <t>◆피복비</t>
  </si>
  <si>
    <t>◆의료비</t>
  </si>
  <si>
    <t>이용인 매월생일행사비용</t>
    <phoneticPr fontId="7" type="noConversion"/>
  </si>
  <si>
    <t>이용인 친목동아리 소요경비</t>
    <phoneticPr fontId="7" type="noConversion"/>
  </si>
  <si>
    <t>에파타마켓진행 물품구입</t>
    <phoneticPr fontId="7" type="noConversion"/>
  </si>
  <si>
    <t>설민속행사 소요경비</t>
    <phoneticPr fontId="7" type="noConversion"/>
  </si>
  <si>
    <t>휴공방프로그램 물품구입</t>
    <phoneticPr fontId="7" type="noConversion"/>
  </si>
  <si>
    <t xml:space="preserve">재미나개놀아줄개 프로그램 </t>
    <phoneticPr fontId="7" type="noConversion"/>
  </si>
  <si>
    <t>뉴스포츠 물품구입</t>
    <phoneticPr fontId="7" type="noConversion"/>
  </si>
  <si>
    <t>조리프로그램실 물품구입</t>
    <phoneticPr fontId="7" type="noConversion"/>
  </si>
  <si>
    <t>우크렐레프로그램진행경비</t>
    <phoneticPr fontId="7" type="noConversion"/>
  </si>
  <si>
    <t>이용인 그룹활동 진행경비</t>
    <phoneticPr fontId="7" type="noConversion"/>
  </si>
  <si>
    <t>카페프로그램소요비용</t>
    <phoneticPr fontId="7" type="noConversion"/>
  </si>
  <si>
    <t>해누리FC풋살프로그램물품구입</t>
    <phoneticPr fontId="7" type="noConversion"/>
  </si>
  <si>
    <t>영&amp;쿡 프로그램 소요비용</t>
    <phoneticPr fontId="7" type="noConversion"/>
  </si>
  <si>
    <t>여름캠프소요경비</t>
    <phoneticPr fontId="7" type="noConversion"/>
  </si>
  <si>
    <t>가을여행 소요경비</t>
    <phoneticPr fontId="7" type="noConversion"/>
  </si>
  <si>
    <t>외부문화체험소요경비</t>
    <phoneticPr fontId="7" type="noConversion"/>
  </si>
  <si>
    <t>◆사회심리재활사업비</t>
  </si>
  <si>
    <t>이용인건강검진비</t>
  </si>
  <si>
    <t>80명</t>
    <phoneticPr fontId="7" type="noConversion"/>
  </si>
  <si>
    <t>4종운영지원 이용인 부식비</t>
    <phoneticPr fontId="7" type="noConversion"/>
  </si>
  <si>
    <t>4종운영지원 이용인 간식비</t>
    <phoneticPr fontId="7" type="noConversion"/>
  </si>
  <si>
    <t>4종운영지원 이용인 피복비</t>
    <phoneticPr fontId="7" type="noConversion"/>
  </si>
  <si>
    <t>4종운영지원 이용인 특별급식비</t>
    <phoneticPr fontId="7" type="noConversion"/>
  </si>
  <si>
    <t>기능보강 공기청정기 렌탈료</t>
    <phoneticPr fontId="7" type="noConversion"/>
  </si>
  <si>
    <t>◆4종운영지원사업비</t>
  </si>
  <si>
    <t>◆재활프로그램사업비</t>
  </si>
  <si>
    <t>이용인 결연후원금</t>
    <phoneticPr fontId="7" type="noConversion"/>
  </si>
  <si>
    <t>결연사업비계</t>
  </si>
  <si>
    <t>◆결연후원금</t>
  </si>
  <si>
    <t>시설비계</t>
  </si>
  <si>
    <t>재산조성비계</t>
  </si>
  <si>
    <t>비지정/이월금</t>
    <phoneticPr fontId="5" type="noConversion"/>
  </si>
  <si>
    <t>지정/이월금</t>
    <phoneticPr fontId="5" type="noConversion"/>
  </si>
  <si>
    <t>예금이자/이월금</t>
    <phoneticPr fontId="5" type="noConversion"/>
  </si>
  <si>
    <t>과년도지출계</t>
    <phoneticPr fontId="5" type="noConversion"/>
  </si>
  <si>
    <t>운영비 보조금 반환금</t>
    <phoneticPr fontId="5" type="noConversion"/>
  </si>
  <si>
    <t>운영비 예금이자 반환금</t>
    <phoneticPr fontId="5" type="noConversion"/>
  </si>
  <si>
    <t>생계비 예금이자 반환금</t>
    <phoneticPr fontId="5" type="noConversion"/>
  </si>
  <si>
    <t>7종 보조금 반환금</t>
    <phoneticPr fontId="5" type="noConversion"/>
  </si>
  <si>
    <t>7종 보조금 예금이자반환금</t>
    <phoneticPr fontId="5" type="noConversion"/>
  </si>
  <si>
    <t>4종 보조금 예금이자반환금</t>
    <phoneticPr fontId="5" type="noConversion"/>
  </si>
  <si>
    <t>재활프로그램 예금이자 반환금</t>
    <phoneticPr fontId="5" type="noConversion"/>
  </si>
  <si>
    <t xml:space="preserve">  추가지원수당 보조금 반환금</t>
    <phoneticPr fontId="5" type="noConversion"/>
  </si>
  <si>
    <t xml:space="preserve">  추가지원수당 예금이자 반환금</t>
    <phoneticPr fontId="5" type="noConversion"/>
  </si>
  <si>
    <t>잡지출계</t>
    <phoneticPr fontId="5" type="noConversion"/>
  </si>
  <si>
    <t>예비비및기타계</t>
    <phoneticPr fontId="5" type="noConversion"/>
  </si>
  <si>
    <t>◆잡지출</t>
  </si>
  <si>
    <t>◆과년도지출</t>
  </si>
  <si>
    <t>◆기능보강사업비</t>
  </si>
  <si>
    <t>아. 일용잡급 일람표</t>
    <phoneticPr fontId="4" type="noConversion"/>
  </si>
  <si>
    <t>보조금 직원</t>
    <phoneticPr fontId="5" type="noConversion"/>
  </si>
  <si>
    <t>사. 임직원 보수 일람표</t>
    <phoneticPr fontId="4" type="noConversion"/>
  </si>
  <si>
    <t>교대인력 사업 인건비 직원</t>
    <phoneticPr fontId="5" type="noConversion"/>
  </si>
  <si>
    <t>자부담 인건비</t>
    <phoneticPr fontId="5" type="noConversion"/>
  </si>
  <si>
    <t>도비7종 인건비 직원</t>
    <phoneticPr fontId="5" type="noConversion"/>
  </si>
  <si>
    <t>교대인력 지원 사업 인건비 직원</t>
    <phoneticPr fontId="5" type="noConversion"/>
  </si>
  <si>
    <t>임직원 보수 총합계액</t>
    <phoneticPr fontId="5" type="noConversion"/>
  </si>
  <si>
    <t>퇴직금및
퇴직적립금</t>
    <phoneticPr fontId="5" type="noConversion"/>
  </si>
  <si>
    <t>사회보험
부담비용</t>
    <phoneticPr fontId="5" type="noConversion"/>
  </si>
  <si>
    <t>4종운영
지원사업비</t>
    <phoneticPr fontId="5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</si>
  <si>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</si>
  <si>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</si>
  <si>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</si>
  <si>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</si>
  <si>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</si>
  <si>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</si>
  <si>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교대근무자특수건강검진비</t>
    <phoneticPr fontId="7" type="noConversion"/>
  </si>
  <si>
    <t>이월금(법인전입금)</t>
    <phoneticPr fontId="4" type="noConversion"/>
  </si>
  <si>
    <t>이월금
(법인전입금)</t>
    <phoneticPr fontId="4" type="noConversion"/>
  </si>
  <si>
    <t>전윤호</t>
    <phoneticPr fontId="5" type="noConversion"/>
  </si>
  <si>
    <t>이윤환</t>
    <phoneticPr fontId="5" type="noConversion"/>
  </si>
  <si>
    <t>유장현</t>
    <phoneticPr fontId="5" type="noConversion"/>
  </si>
  <si>
    <t>물리치료사</t>
    <phoneticPr fontId="5" type="noConversion"/>
  </si>
  <si>
    <t>한만규</t>
    <phoneticPr fontId="5" type="noConversion"/>
  </si>
  <si>
    <t>시비 의료인력 인건비 직원</t>
    <phoneticPr fontId="5" type="noConversion"/>
  </si>
  <si>
    <t>물리치료사</t>
    <phoneticPr fontId="7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</si>
  <si>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</si>
  <si>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</si>
  <si>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</si>
  <si>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(의료지원)</t>
    <phoneticPr fontId="5" type="noConversion"/>
  </si>
  <si>
    <t>(의료지원)</t>
    <phoneticPr fontId="5" type="noConversion"/>
  </si>
  <si>
    <t>한만규</t>
    <phoneticPr fontId="5" type="noConversion"/>
  </si>
  <si>
    <t>한만규</t>
    <phoneticPr fontId="5" type="noConversion"/>
  </si>
  <si>
    <t>문슬기</t>
    <phoneticPr fontId="5" type="noConversion"/>
  </si>
  <si>
    <t>문슬기</t>
    <phoneticPr fontId="5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</si>
  <si>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</si>
  <si>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</si>
  <si>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</si>
  <si>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한만규</t>
    <phoneticPr fontId="7" type="noConversion"/>
  </si>
  <si>
    <t>팀장</t>
    <phoneticPr fontId="7" type="noConversion"/>
  </si>
  <si>
    <t>김종민</t>
    <phoneticPr fontId="5" type="noConversion"/>
  </si>
  <si>
    <t>(의료지원)</t>
    <phoneticPr fontId="5" type="noConversion"/>
  </si>
  <si>
    <t>문슬기</t>
    <phoneticPr fontId="7" type="noConversion"/>
  </si>
  <si>
    <t>문슬기</t>
    <phoneticPr fontId="7" type="noConversion"/>
  </si>
  <si>
    <t>7종운영비보조금합계액</t>
    <phoneticPr fontId="5" type="noConversion"/>
  </si>
  <si>
    <t>교대인력 지원보조금 합계액</t>
    <phoneticPr fontId="5" type="noConversion"/>
  </si>
  <si>
    <t>의료인력지원 합계액</t>
    <phoneticPr fontId="5" type="noConversion"/>
  </si>
  <si>
    <t>운영비 인건비 보조금 합계액</t>
    <phoneticPr fontId="5" type="noConversion"/>
  </si>
  <si>
    <t>후원금 인건비 합계액</t>
    <phoneticPr fontId="5" type="noConversion"/>
  </si>
  <si>
    <t>자부담 인건비 합계액</t>
    <phoneticPr fontId="5" type="noConversion"/>
  </si>
  <si>
    <t xml:space="preserve"> ※생활보장급여입소현인원</t>
    <phoneticPr fontId="4" type="noConversion"/>
  </si>
  <si>
    <t>공동모금회사업비</t>
    <phoneticPr fontId="5" type="noConversion"/>
  </si>
  <si>
    <t>◆공동모금회사업비</t>
    <phoneticPr fontId="5" type="noConversion"/>
  </si>
  <si>
    <t>입소비용/이월금</t>
    <phoneticPr fontId="5" type="noConversion"/>
  </si>
  <si>
    <t xml:space="preserve">  종사자식대/이월금</t>
    <phoneticPr fontId="5" type="noConversion"/>
  </si>
  <si>
    <t>보조금</t>
    <phoneticPr fontId="4" type="noConversion"/>
  </si>
  <si>
    <t>자부담</t>
    <phoneticPr fontId="4" type="noConversion"/>
  </si>
  <si>
    <t>후원금</t>
    <phoneticPr fontId="4" type="noConversion"/>
  </si>
  <si>
    <t>오프리아트 진행물품구입</t>
    <phoneticPr fontId="7" type="noConversion"/>
  </si>
  <si>
    <t>예금이자</t>
    <phoneticPr fontId="4" type="noConversion"/>
  </si>
  <si>
    <t>사업비</t>
    <phoneticPr fontId="5" type="noConversion"/>
  </si>
  <si>
    <t>과년도지출</t>
    <phoneticPr fontId="5" type="noConversion"/>
  </si>
  <si>
    <t>공동모금회
사업비</t>
    <phoneticPr fontId="5" type="noConversion"/>
  </si>
  <si>
    <t>* 월평균 27,000,000원*12월</t>
    <phoneticPr fontId="4" type="noConversion"/>
  </si>
  <si>
    <t>공동모금회사업비</t>
    <phoneticPr fontId="4" type="noConversion"/>
  </si>
  <si>
    <t>바보의나눔사업</t>
    <phoneticPr fontId="5" type="noConversion"/>
  </si>
  <si>
    <t>◆바보의나눔 지원사업비</t>
    <phoneticPr fontId="5" type="noConversion"/>
  </si>
  <si>
    <t>바보의나눔재단후원</t>
    <phoneticPr fontId="7" type="noConversion"/>
  </si>
  <si>
    <t>세출내역서</t>
    <phoneticPr fontId="4" type="noConversion"/>
  </si>
  <si>
    <t>세입내역서</t>
    <phoneticPr fontId="4" type="noConversion"/>
  </si>
  <si>
    <t>합계</t>
    <phoneticPr fontId="4" type="noConversion"/>
  </si>
  <si>
    <t>기타보조금</t>
    <phoneticPr fontId="4" type="noConversion"/>
  </si>
  <si>
    <t>지정후원금</t>
    <phoneticPr fontId="4" type="noConversion"/>
  </si>
  <si>
    <t>비지정후원금</t>
    <phoneticPr fontId="4" type="noConversion"/>
  </si>
  <si>
    <t>법인전입금</t>
    <phoneticPr fontId="4" type="noConversion"/>
  </si>
  <si>
    <t>일용잡급</t>
    <phoneticPr fontId="4" type="noConversion"/>
  </si>
  <si>
    <t xml:space="preserve">일용잡급 </t>
    <phoneticPr fontId="5" type="noConversion"/>
  </si>
  <si>
    <t>시군구보조금</t>
    <phoneticPr fontId="4" type="noConversion"/>
  </si>
  <si>
    <t>의료인력인건비</t>
    <phoneticPr fontId="4" type="noConversion"/>
  </si>
  <si>
    <t>국고보조금</t>
    <phoneticPr fontId="4" type="noConversion"/>
  </si>
  <si>
    <t>시군구보조금</t>
    <phoneticPr fontId="4" type="noConversion"/>
  </si>
  <si>
    <t>인건비</t>
    <phoneticPr fontId="4" type="noConversion"/>
  </si>
  <si>
    <t>관리운영비</t>
    <phoneticPr fontId="4" type="noConversion"/>
  </si>
  <si>
    <t>시도보조금</t>
    <phoneticPr fontId="4" type="noConversion"/>
  </si>
  <si>
    <t>시군구보조금</t>
    <phoneticPr fontId="4" type="noConversion"/>
  </si>
  <si>
    <t>국고보조금</t>
    <phoneticPr fontId="4" type="noConversion"/>
  </si>
  <si>
    <t>18</t>
    <phoneticPr fontId="5" type="noConversion"/>
  </si>
  <si>
    <t>25</t>
    <phoneticPr fontId="5" type="noConversion"/>
  </si>
  <si>
    <t>14</t>
    <phoneticPr fontId="5" type="noConversion"/>
  </si>
  <si>
    <t>11</t>
    <phoneticPr fontId="5" type="noConversion"/>
  </si>
  <si>
    <t>최경식</t>
    <phoneticPr fontId="5" type="noConversion"/>
  </si>
  <si>
    <t>20</t>
    <phoneticPr fontId="5" type="noConversion"/>
  </si>
  <si>
    <t>14</t>
    <phoneticPr fontId="5" type="noConversion"/>
  </si>
  <si>
    <t>17</t>
    <phoneticPr fontId="5" type="noConversion"/>
  </si>
  <si>
    <t>기능보강 보조금</t>
    <phoneticPr fontId="5" type="noConversion"/>
  </si>
  <si>
    <t>4종</t>
    <phoneticPr fontId="4" type="noConversion"/>
  </si>
  <si>
    <t>연장추가지원수당</t>
    <phoneticPr fontId="4" type="noConversion"/>
  </si>
  <si>
    <t>보전수당</t>
    <phoneticPr fontId="5" type="noConversion"/>
  </si>
  <si>
    <t>후원금 인건비</t>
    <phoneticPr fontId="5" type="noConversion"/>
  </si>
  <si>
    <t>-</t>
    <phoneticPr fontId="5" type="noConversion"/>
  </si>
  <si>
    <t>이민지</t>
    <phoneticPr fontId="7" type="noConversion"/>
  </si>
  <si>
    <t>구현우</t>
    <phoneticPr fontId="7" type="noConversion"/>
  </si>
  <si>
    <t>최경식</t>
    <phoneticPr fontId="5" type="noConversion"/>
  </si>
  <si>
    <t>권지수</t>
    <phoneticPr fontId="5" type="noConversion"/>
  </si>
  <si>
    <t>김효주</t>
    <phoneticPr fontId="7" type="noConversion"/>
  </si>
  <si>
    <t>이현경</t>
    <phoneticPr fontId="5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</si>
  <si>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</si>
  <si>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</si>
  <si>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</si>
  <si>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</si>
  <si>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김철진</t>
    <phoneticPr fontId="7" type="noConversion"/>
  </si>
  <si>
    <t>이풍원</t>
    <phoneticPr fontId="7" type="noConversion"/>
  </si>
  <si>
    <t>전윤호</t>
    <phoneticPr fontId="5" type="noConversion"/>
  </si>
  <si>
    <t>이윤환</t>
    <phoneticPr fontId="5" type="noConversion"/>
  </si>
  <si>
    <t>유장현</t>
    <phoneticPr fontId="5" type="noConversion"/>
  </si>
  <si>
    <t>지원수당</t>
    <phoneticPr fontId="5" type="noConversion"/>
  </si>
  <si>
    <t>2022년 목공프로그램 진행재료비</t>
    <phoneticPr fontId="7" type="noConversion"/>
  </si>
  <si>
    <t>2022년 목공프로그램 실무자회비</t>
    <phoneticPr fontId="7" type="noConversion"/>
  </si>
  <si>
    <t>2022년 목공프로그램 체험비</t>
    <phoneticPr fontId="7" type="noConversion"/>
  </si>
  <si>
    <t>식당노후설비교체비</t>
    <phoneticPr fontId="7" type="noConversion"/>
  </si>
  <si>
    <t>시도구운영비보조금반환금</t>
    <phoneticPr fontId="5" type="noConversion"/>
  </si>
  <si>
    <t>시도구운영비예금이자반환금</t>
    <phoneticPr fontId="5" type="noConversion"/>
  </si>
  <si>
    <t>⑥</t>
    <phoneticPr fontId="4" type="noConversion"/>
  </si>
  <si>
    <t>병원진료중매식등</t>
    <phoneticPr fontId="7" type="noConversion"/>
  </si>
  <si>
    <t>종사자 인건비에 의한 예산증액</t>
    <phoneticPr fontId="4" type="noConversion"/>
  </si>
  <si>
    <t>2022년도(2022.01.01 ~ 2022.12.31) 예산으로</t>
    <phoneticPr fontId="5" type="noConversion"/>
  </si>
  <si>
    <t>휴일근로시간</t>
    <phoneticPr fontId="5" type="noConversion"/>
  </si>
  <si>
    <t>휴일근로수당</t>
    <phoneticPr fontId="5" type="noConversion"/>
  </si>
  <si>
    <t>휴일근로수당</t>
    <phoneticPr fontId="5" type="noConversion"/>
  </si>
  <si>
    <t>시설장</t>
    <phoneticPr fontId="7" type="noConversion"/>
  </si>
  <si>
    <t>X</t>
    <phoneticPr fontId="4" type="noConversion"/>
  </si>
  <si>
    <t>X</t>
    <phoneticPr fontId="4" type="noConversion"/>
  </si>
  <si>
    <t>사무국장</t>
    <phoneticPr fontId="7" type="noConversion"/>
  </si>
  <si>
    <t>금형민</t>
    <phoneticPr fontId="7" type="noConversion"/>
  </si>
  <si>
    <t>김정윤</t>
    <phoneticPr fontId="7" type="noConversion"/>
  </si>
  <si>
    <t>=</t>
    <phoneticPr fontId="4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</si>
  <si>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</si>
  <si>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</si>
  <si>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</si>
  <si>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</si>
  <si>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</si>
  <si>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언어치료사</t>
    <phoneticPr fontId="7" type="noConversion"/>
  </si>
  <si>
    <t>최민성</t>
    <phoneticPr fontId="7" type="noConversion"/>
  </si>
  <si>
    <t>김효선</t>
    <phoneticPr fontId="7" type="noConversion"/>
  </si>
  <si>
    <t>과장</t>
    <phoneticPr fontId="7" type="noConversion"/>
  </si>
  <si>
    <t>심영은</t>
    <phoneticPr fontId="7" type="noConversion"/>
  </si>
  <si>
    <t>사무원</t>
    <phoneticPr fontId="7" type="noConversion"/>
  </si>
  <si>
    <t>생활지도원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</si>
  <si>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</si>
  <si>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</si>
  <si>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</si>
  <si>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</si>
  <si>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</si>
  <si>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</si>
  <si>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</si>
  <si>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</si>
  <si>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</si>
  <si>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</si>
  <si>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</si>
  <si>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조리원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</si>
  <si>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</si>
  <si>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</si>
  <si>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</si>
  <si>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권지수</t>
    <phoneticPr fontId="7" type="noConversion"/>
  </si>
  <si>
    <t>이현경</t>
    <phoneticPr fontId="7" type="noConversion"/>
  </si>
  <si>
    <t>오권호</t>
    <phoneticPr fontId="7" type="noConversion"/>
  </si>
  <si>
    <t>김철진</t>
    <phoneticPr fontId="7" type="noConversion"/>
  </si>
  <si>
    <t>이기수</t>
    <phoneticPr fontId="7" type="noConversion"/>
  </si>
  <si>
    <t>이기수</t>
    <phoneticPr fontId="7" type="noConversion"/>
  </si>
  <si>
    <t>=</t>
    <phoneticPr fontId="4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</si>
  <si>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</si>
  <si>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</si>
  <si>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</si>
  <si>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</si>
  <si>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영양사</t>
    <phoneticPr fontId="7" type="noConversion"/>
  </si>
  <si>
    <t>간호사</t>
    <phoneticPr fontId="7" type="noConversion"/>
  </si>
  <si>
    <t>=</t>
    <phoneticPr fontId="4" type="noConversion"/>
  </si>
  <si>
    <t>간호사</t>
    <phoneticPr fontId="7" type="noConversion"/>
  </si>
  <si>
    <t>언어치료사</t>
    <phoneticPr fontId="7" type="noConversion"/>
  </si>
  <si>
    <t>작업치료사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</si>
  <si>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</si>
  <si>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</si>
  <si>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</si>
  <si>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</si>
  <si>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</si>
  <si>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팀장</t>
    <phoneticPr fontId="7" type="noConversion"/>
  </si>
  <si>
    <t>사무원</t>
    <phoneticPr fontId="7" type="noConversion"/>
  </si>
  <si>
    <t>유준</t>
    <phoneticPr fontId="7" type="noConversion"/>
  </si>
  <si>
    <t>신희철</t>
    <phoneticPr fontId="7" type="noConversion"/>
  </si>
  <si>
    <t>홍은향</t>
    <phoneticPr fontId="7" type="noConversion"/>
  </si>
  <si>
    <t>생활지도원</t>
    <phoneticPr fontId="7" type="noConversion"/>
  </si>
  <si>
    <t>김종민</t>
    <phoneticPr fontId="7" type="noConversion"/>
  </si>
  <si>
    <t>권구철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</si>
  <si>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</si>
  <si>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</si>
  <si>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</si>
  <si>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박영규</t>
    <phoneticPr fontId="7" type="noConversion"/>
  </si>
  <si>
    <t>생활지도원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</si>
  <si>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</si>
  <si>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</si>
  <si>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</si>
  <si>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X</t>
    <phoneticPr fontId="4" type="noConversion"/>
  </si>
  <si>
    <t>생활지도원</t>
    <phoneticPr fontId="7" type="noConversion"/>
  </si>
  <si>
    <t>생활지도원</t>
    <phoneticPr fontId="7" type="noConversion"/>
  </si>
  <si>
    <t>위생원</t>
    <phoneticPr fontId="7" type="noConversion"/>
  </si>
  <si>
    <t>윤인자</t>
    <phoneticPr fontId="7" type="noConversion"/>
  </si>
  <si>
    <t>사. 임직원 보수 일람표(의료인력 인건비)</t>
    <phoneticPr fontId="4" type="noConversion"/>
  </si>
  <si>
    <t>사. 임직원 보수 일람표(자부담 인건비)</t>
    <phoneticPr fontId="4" type="noConversion"/>
  </si>
  <si>
    <t>사. 임직원 보수 일람표(후원금인건비)</t>
    <phoneticPr fontId="4" type="noConversion"/>
  </si>
  <si>
    <t>최경식</t>
    <phoneticPr fontId="7" type="noConversion"/>
  </si>
  <si>
    <t>이순옥</t>
    <phoneticPr fontId="7" type="noConversion"/>
  </si>
  <si>
    <t>최미란</t>
    <phoneticPr fontId="7" type="noConversion"/>
  </si>
  <si>
    <t>최미란</t>
    <phoneticPr fontId="7" type="noConversion"/>
  </si>
  <si>
    <t>이민지</t>
    <phoneticPr fontId="7" type="noConversion"/>
  </si>
  <si>
    <t>권지수</t>
    <phoneticPr fontId="5" type="noConversion"/>
  </si>
  <si>
    <t>김효주</t>
    <phoneticPr fontId="7" type="noConversion"/>
  </si>
  <si>
    <t>김효주</t>
    <phoneticPr fontId="7" type="noConversion"/>
  </si>
  <si>
    <t>이현경</t>
    <phoneticPr fontId="5" type="noConversion"/>
  </si>
  <si>
    <t>오권호</t>
    <phoneticPr fontId="5" type="noConversion"/>
  </si>
  <si>
    <t>이성진</t>
    <phoneticPr fontId="7" type="noConversion"/>
  </si>
  <si>
    <t>김철진</t>
    <phoneticPr fontId="7" type="noConversion"/>
  </si>
  <si>
    <t>이풍원</t>
    <phoneticPr fontId="7" type="noConversion"/>
  </si>
  <si>
    <t>신언영</t>
    <phoneticPr fontId="5" type="noConversion"/>
  </si>
  <si>
    <t>안명숙</t>
    <phoneticPr fontId="5" type="noConversion"/>
  </si>
  <si>
    <t>박세의</t>
    <phoneticPr fontId="5" type="noConversion"/>
  </si>
  <si>
    <t>1</t>
    <phoneticPr fontId="5" type="noConversion"/>
  </si>
  <si>
    <t>※ 보건복지가족부 2022년 종사자 보수지급기준표 적용.</t>
    <phoneticPr fontId="11" type="noConversion"/>
  </si>
  <si>
    <t>운전원</t>
    <phoneticPr fontId="5" type="noConversion"/>
  </si>
  <si>
    <t>12</t>
    <phoneticPr fontId="5" type="noConversion"/>
  </si>
  <si>
    <t>법인전입/이월금</t>
    <phoneticPr fontId="5" type="noConversion"/>
  </si>
  <si>
    <t>기타잡수입/이월금</t>
    <phoneticPr fontId="5" type="noConversion"/>
  </si>
  <si>
    <t>공석</t>
    <phoneticPr fontId="7" type="noConversion"/>
  </si>
  <si>
    <t>안명숙</t>
    <phoneticPr fontId="7" type="noConversion"/>
  </si>
  <si>
    <t>안명숙</t>
    <phoneticPr fontId="7" type="noConversion"/>
  </si>
  <si>
    <t>운전원</t>
    <phoneticPr fontId="7" type="noConversion"/>
  </si>
  <si>
    <t>운전원</t>
    <phoneticPr fontId="5" type="noConversion"/>
  </si>
  <si>
    <t>신언영</t>
    <phoneticPr fontId="7" type="noConversion"/>
  </si>
  <si>
    <t>예비</t>
    <phoneticPr fontId="5" type="noConversion"/>
  </si>
  <si>
    <t>예비</t>
    <phoneticPr fontId="5" type="noConversion"/>
  </si>
  <si>
    <t>박세의</t>
    <phoneticPr fontId="7" type="noConversion"/>
  </si>
  <si>
    <t>이민지</t>
    <phoneticPr fontId="7" type="noConversion"/>
  </si>
  <si>
    <t>안명숙</t>
    <phoneticPr fontId="7" type="noConversion"/>
  </si>
  <si>
    <t>안명숙</t>
    <phoneticPr fontId="7" type="noConversion"/>
  </si>
  <si>
    <t>박세의</t>
    <phoneticPr fontId="7" type="noConversion"/>
  </si>
  <si>
    <t>기관정수기임대료(11대)</t>
    <phoneticPr fontId="7" type="noConversion"/>
  </si>
  <si>
    <t>기관비데 임대료(6대)</t>
    <phoneticPr fontId="7" type="noConversion"/>
  </si>
  <si>
    <t>코로나19의료폐기물처리비용</t>
    <phoneticPr fontId="7" type="noConversion"/>
  </si>
  <si>
    <t>기타 사무용품및소모품 구입</t>
    <phoneticPr fontId="7" type="noConversion"/>
  </si>
  <si>
    <t>기관차량(9대)보험료</t>
    <phoneticPr fontId="7" type="noConversion"/>
  </si>
  <si>
    <t>환경개선사업비</t>
    <phoneticPr fontId="5" type="noConversion"/>
  </si>
  <si>
    <t>◆보조금 환경개선사업</t>
    <phoneticPr fontId="5" type="noConversion"/>
  </si>
  <si>
    <t>이용인 설,추석명절특별위로금지급</t>
    <phoneticPr fontId="7" type="noConversion"/>
  </si>
  <si>
    <t>이용인 월동대책비</t>
    <phoneticPr fontId="7" type="noConversion"/>
  </si>
  <si>
    <t>취사연료비</t>
    <phoneticPr fontId="5" type="noConversion"/>
  </si>
  <si>
    <t>◆연료비</t>
    <phoneticPr fontId="5" type="noConversion"/>
  </si>
  <si>
    <t>직접비</t>
    <phoneticPr fontId="4" type="noConversion"/>
  </si>
  <si>
    <t>간접비</t>
    <phoneticPr fontId="4" type="noConversion"/>
  </si>
  <si>
    <t>자산취득비지정후원금포함</t>
    <phoneticPr fontId="5" type="noConversion"/>
  </si>
  <si>
    <t>보조금(584,604원), 자부담(303,965원), 후원금(271,142원)</t>
    <phoneticPr fontId="4" type="noConversion"/>
  </si>
  <si>
    <t>과년도지출</t>
    <phoneticPr fontId="5" type="noConversion"/>
  </si>
  <si>
    <t>공동모금회반환금</t>
    <phoneticPr fontId="5" type="noConversion"/>
  </si>
  <si>
    <t>운영비인건비</t>
    <phoneticPr fontId="4" type="noConversion"/>
  </si>
  <si>
    <t>교대 인건비</t>
    <phoneticPr fontId="4" type="noConversion"/>
  </si>
  <si>
    <t>휴일수당</t>
    <phoneticPr fontId="4" type="noConversion"/>
  </si>
  <si>
    <t>조정수당</t>
    <phoneticPr fontId="5" type="noConversion"/>
  </si>
  <si>
    <t>* 종사자급식비 : 38,400,000원
* SK 장소임대료  : 2,750,000원
* 기타 7,000,000원</t>
    <phoneticPr fontId="4" type="noConversion"/>
  </si>
  <si>
    <t>이용인 피복구입</t>
    <phoneticPr fontId="7" type="noConversion"/>
  </si>
  <si>
    <t>업무용차량 주유비인상등에 따른 예산증액</t>
    <phoneticPr fontId="5" type="noConversion"/>
  </si>
  <si>
    <t xml:space="preserve"> 예금이자 수입액 반영 감액</t>
    <phoneticPr fontId="5" type="noConversion"/>
  </si>
  <si>
    <t>2023년도</t>
    <phoneticPr fontId="4" type="noConversion"/>
  </si>
  <si>
    <t>2023년</t>
    <phoneticPr fontId="4" type="noConversion"/>
  </si>
  <si>
    <t>전년도예산
(A)</t>
    <phoneticPr fontId="4" type="noConversion"/>
  </si>
  <si>
    <t>2023년예산
 (B)</t>
    <phoneticPr fontId="4" type="noConversion"/>
  </si>
  <si>
    <t>21</t>
    <phoneticPr fontId="5" type="noConversion"/>
  </si>
  <si>
    <t>19</t>
    <phoneticPr fontId="5" type="noConversion"/>
  </si>
  <si>
    <t>26</t>
    <phoneticPr fontId="5" type="noConversion"/>
  </si>
  <si>
    <t>15</t>
    <phoneticPr fontId="5" type="noConversion"/>
  </si>
  <si>
    <t>9</t>
    <phoneticPr fontId="5" type="noConversion"/>
  </si>
  <si>
    <t>14</t>
    <phoneticPr fontId="5" type="noConversion"/>
  </si>
  <si>
    <t>8</t>
    <phoneticPr fontId="5" type="noConversion"/>
  </si>
  <si>
    <t>18</t>
    <phoneticPr fontId="5" type="noConversion"/>
  </si>
  <si>
    <t>16</t>
    <phoneticPr fontId="5" type="noConversion"/>
  </si>
  <si>
    <t>13</t>
    <phoneticPr fontId="5" type="noConversion"/>
  </si>
  <si>
    <t>17</t>
    <phoneticPr fontId="5" type="noConversion"/>
  </si>
  <si>
    <t>12</t>
    <phoneticPr fontId="5" type="noConversion"/>
  </si>
  <si>
    <t>13</t>
    <phoneticPr fontId="5" type="noConversion"/>
  </si>
  <si>
    <t>10</t>
    <phoneticPr fontId="5" type="noConversion"/>
  </si>
  <si>
    <t>7</t>
    <phoneticPr fontId="5" type="noConversion"/>
  </si>
  <si>
    <t>10</t>
    <phoneticPr fontId="5" type="noConversion"/>
  </si>
  <si>
    <t>5</t>
    <phoneticPr fontId="5" type="noConversion"/>
  </si>
  <si>
    <t>8</t>
    <phoneticPr fontId="5" type="noConversion"/>
  </si>
  <si>
    <t>9</t>
    <phoneticPr fontId="5" type="noConversion"/>
  </si>
  <si>
    <t>10</t>
    <phoneticPr fontId="5" type="noConversion"/>
  </si>
  <si>
    <t>3</t>
    <phoneticPr fontId="5" type="noConversion"/>
  </si>
  <si>
    <t>10</t>
    <phoneticPr fontId="5" type="noConversion"/>
  </si>
  <si>
    <t>4</t>
    <phoneticPr fontId="5" type="noConversion"/>
  </si>
  <si>
    <t>4</t>
    <phoneticPr fontId="5" type="noConversion"/>
  </si>
  <si>
    <t>5</t>
    <phoneticPr fontId="5" type="noConversion"/>
  </si>
  <si>
    <t>4</t>
    <phoneticPr fontId="5" type="noConversion"/>
  </si>
  <si>
    <t>15</t>
    <phoneticPr fontId="5" type="noConversion"/>
  </si>
  <si>
    <t>17</t>
    <phoneticPr fontId="5" type="noConversion"/>
  </si>
  <si>
    <t xml:space="preserve">김성숙
</t>
    <phoneticPr fontId="5" type="noConversion"/>
  </si>
  <si>
    <t>간호사
(팀장)</t>
    <phoneticPr fontId="5" type="noConversion"/>
  </si>
  <si>
    <t>5</t>
    <phoneticPr fontId="5" type="noConversion"/>
  </si>
  <si>
    <t>박민들</t>
    <phoneticPr fontId="5" type="noConversion"/>
  </si>
  <si>
    <t>박지웅</t>
    <phoneticPr fontId="5" type="noConversion"/>
  </si>
  <si>
    <t>이충현</t>
    <phoneticPr fontId="5" type="noConversion"/>
  </si>
  <si>
    <t>5</t>
    <phoneticPr fontId="5" type="noConversion"/>
  </si>
  <si>
    <t>6</t>
    <phoneticPr fontId="5" type="noConversion"/>
  </si>
  <si>
    <t>김민제</t>
    <phoneticPr fontId="5" type="noConversion"/>
  </si>
  <si>
    <t>하종호</t>
    <phoneticPr fontId="5" type="noConversion"/>
  </si>
  <si>
    <t>남택림</t>
    <phoneticPr fontId="5" type="noConversion"/>
  </si>
  <si>
    <t>김동진</t>
    <phoneticPr fontId="5" type="noConversion"/>
  </si>
  <si>
    <t>장선우</t>
    <phoneticPr fontId="5" type="noConversion"/>
  </si>
  <si>
    <t>박동규</t>
    <phoneticPr fontId="5" type="noConversion"/>
  </si>
  <si>
    <t>임지혜</t>
    <phoneticPr fontId="5" type="noConversion"/>
  </si>
  <si>
    <t>한승희</t>
    <phoneticPr fontId="5" type="noConversion"/>
  </si>
  <si>
    <t>공석</t>
    <phoneticPr fontId="5" type="noConversion"/>
  </si>
  <si>
    <t>이상현</t>
    <phoneticPr fontId="5" type="noConversion"/>
  </si>
  <si>
    <t>김성숙</t>
    <phoneticPr fontId="7" type="noConversion"/>
  </si>
  <si>
    <t>김성숙</t>
    <phoneticPr fontId="7" type="noConversion"/>
  </si>
  <si>
    <t>임지혜</t>
    <phoneticPr fontId="7" type="noConversion"/>
  </si>
  <si>
    <t>임지혜</t>
    <phoneticPr fontId="7" type="noConversion"/>
  </si>
  <si>
    <t>한승희</t>
    <phoneticPr fontId="7" type="noConversion"/>
  </si>
  <si>
    <t>박민들</t>
    <phoneticPr fontId="7" type="noConversion"/>
  </si>
  <si>
    <t>박민들</t>
    <phoneticPr fontId="7" type="noConversion"/>
  </si>
  <si>
    <t>박지웅</t>
    <phoneticPr fontId="7" type="noConversion"/>
  </si>
  <si>
    <t>이충현</t>
    <phoneticPr fontId="7" type="noConversion"/>
  </si>
  <si>
    <t>이충현</t>
    <phoneticPr fontId="7" type="noConversion"/>
  </si>
  <si>
    <t>구현우</t>
    <phoneticPr fontId="7" type="noConversion"/>
  </si>
  <si>
    <t>구현우</t>
    <phoneticPr fontId="7" type="noConversion"/>
  </si>
  <si>
    <t>박은혜</t>
    <phoneticPr fontId="7" type="noConversion"/>
  </si>
  <si>
    <t>김민제</t>
    <phoneticPr fontId="7" type="noConversion"/>
  </si>
  <si>
    <t>하종호</t>
    <phoneticPr fontId="7" type="noConversion"/>
  </si>
  <si>
    <t>정택진</t>
    <phoneticPr fontId="5" type="noConversion"/>
  </si>
  <si>
    <t>최경식</t>
    <phoneticPr fontId="5" type="noConversion"/>
  </si>
  <si>
    <t>최경식</t>
    <phoneticPr fontId="7" type="noConversion"/>
  </si>
  <si>
    <t>김동진</t>
    <phoneticPr fontId="7" type="noConversion"/>
  </si>
  <si>
    <t>장선우</t>
    <phoneticPr fontId="7" type="noConversion"/>
  </si>
  <si>
    <t>장선우</t>
    <phoneticPr fontId="7" type="noConversion"/>
  </si>
  <si>
    <t>박동규</t>
    <phoneticPr fontId="7" type="noConversion"/>
  </si>
  <si>
    <t>박동규</t>
    <phoneticPr fontId="7" type="noConversion"/>
  </si>
  <si>
    <t>공석</t>
    <phoneticPr fontId="7" type="noConversion"/>
  </si>
  <si>
    <t>공석</t>
    <phoneticPr fontId="7" type="noConversion"/>
  </si>
  <si>
    <t>이윤환</t>
    <phoneticPr fontId="5" type="noConversion"/>
  </si>
  <si>
    <t>유장현</t>
    <phoneticPr fontId="5" type="noConversion"/>
  </si>
  <si>
    <t>이상현</t>
    <phoneticPr fontId="5" type="noConversion"/>
  </si>
  <si>
    <t>김성숙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</si>
  <si>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</si>
  <si>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</si>
  <si>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</si>
  <si>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이충현</t>
    <phoneticPr fontId="7" type="noConversion"/>
  </si>
  <si>
    <t>남택림</t>
    <phoneticPr fontId="7" type="noConversion"/>
  </si>
  <si>
    <t>정택진</t>
    <phoneticPr fontId="7" type="noConversion"/>
  </si>
  <si>
    <t>최경식</t>
    <phoneticPr fontId="7" type="noConversion"/>
  </si>
  <si>
    <t>김동진</t>
    <phoneticPr fontId="7" type="noConversion"/>
  </si>
  <si>
    <t>김종진</t>
    <phoneticPr fontId="7" type="noConversion"/>
  </si>
  <si>
    <t>정선우</t>
    <phoneticPr fontId="7" type="noConversion"/>
  </si>
  <si>
    <t>박동규</t>
    <phoneticPr fontId="7" type="noConversion"/>
  </si>
  <si>
    <t>골석</t>
    <phoneticPr fontId="7" type="noConversion"/>
  </si>
  <si>
    <t>공석</t>
    <phoneticPr fontId="7" type="noConversion"/>
  </si>
  <si>
    <t>박세의</t>
    <phoneticPr fontId="7" type="noConversion"/>
  </si>
  <si>
    <t>박세의</t>
    <phoneticPr fontId="7" type="noConversion"/>
  </si>
  <si>
    <t>박세의</t>
    <phoneticPr fontId="7" type="noConversion"/>
  </si>
  <si>
    <t>김성숙</t>
    <phoneticPr fontId="7" type="noConversion"/>
  </si>
  <si>
    <t>김철진</t>
    <phoneticPr fontId="7" type="noConversion"/>
  </si>
  <si>
    <t>이윤환</t>
    <phoneticPr fontId="7" type="noConversion"/>
  </si>
  <si>
    <t>이윤환</t>
    <phoneticPr fontId="7" type="noConversion"/>
  </si>
  <si>
    <t>유장현</t>
    <phoneticPr fontId="7" type="noConversion"/>
  </si>
  <si>
    <t>이상현</t>
    <phoneticPr fontId="5" type="noConversion"/>
  </si>
  <si>
    <t>이상현</t>
    <phoneticPr fontId="7" type="noConversion"/>
  </si>
  <si>
    <t>임지혜</t>
    <phoneticPr fontId="7" type="noConversion"/>
  </si>
  <si>
    <t>박민들</t>
    <phoneticPr fontId="7" type="noConversion"/>
  </si>
  <si>
    <t>남택림</t>
    <phoneticPr fontId="7" type="noConversion"/>
  </si>
  <si>
    <t>김동진</t>
    <phoneticPr fontId="7" type="noConversion"/>
  </si>
  <si>
    <t>장선우</t>
    <phoneticPr fontId="7" type="noConversion"/>
  </si>
  <si>
    <t>박동규</t>
    <phoneticPr fontId="7" type="noConversion"/>
  </si>
  <si>
    <t>공석</t>
    <phoneticPr fontId="7" type="noConversion"/>
  </si>
  <si>
    <t>공석</t>
    <phoneticPr fontId="7" type="noConversion"/>
  </si>
  <si>
    <t>오권호</t>
    <phoneticPr fontId="7" type="noConversion"/>
  </si>
  <si>
    <t>김철진</t>
    <phoneticPr fontId="7" type="noConversion"/>
  </si>
  <si>
    <t>이상현</t>
    <phoneticPr fontId="5" type="noConversion"/>
  </si>
  <si>
    <t>김성숙</t>
    <phoneticPr fontId="7" type="noConversion"/>
  </si>
  <si>
    <t>팀장</t>
    <phoneticPr fontId="7" type="noConversion"/>
  </si>
  <si>
    <t>임지혜</t>
    <phoneticPr fontId="7" type="noConversion"/>
  </si>
  <si>
    <t>한승희</t>
    <phoneticPr fontId="7" type="noConversion"/>
  </si>
  <si>
    <t>한승희</t>
    <phoneticPr fontId="7" type="noConversion"/>
  </si>
  <si>
    <t>김동진</t>
    <phoneticPr fontId="5" type="noConversion"/>
  </si>
  <si>
    <t>박동규</t>
    <phoneticPr fontId="5" type="noConversion"/>
  </si>
  <si>
    <t>장선우</t>
    <phoneticPr fontId="5" type="noConversion"/>
  </si>
  <si>
    <t>장선우</t>
    <phoneticPr fontId="5" type="noConversion"/>
  </si>
  <si>
    <t>박동규</t>
    <phoneticPr fontId="5" type="noConversion"/>
  </si>
  <si>
    <t>박동규</t>
    <phoneticPr fontId="5" type="noConversion"/>
  </si>
  <si>
    <t>공석</t>
    <phoneticPr fontId="5" type="noConversion"/>
  </si>
  <si>
    <t>박세의</t>
    <phoneticPr fontId="7" type="noConversion"/>
  </si>
  <si>
    <t>박세의</t>
    <phoneticPr fontId="7" type="noConversion"/>
  </si>
  <si>
    <t>임지혜</t>
    <phoneticPr fontId="7" type="noConversion"/>
  </si>
  <si>
    <t>김동진</t>
    <phoneticPr fontId="5" type="noConversion"/>
  </si>
  <si>
    <t>김동진</t>
    <phoneticPr fontId="5" type="noConversion"/>
  </si>
  <si>
    <t>장선우</t>
    <phoneticPr fontId="5" type="noConversion"/>
  </si>
  <si>
    <t>박동규</t>
    <phoneticPr fontId="5" type="noConversion"/>
  </si>
  <si>
    <t>공석</t>
    <phoneticPr fontId="5" type="noConversion"/>
  </si>
  <si>
    <t>공석</t>
    <phoneticPr fontId="5" type="noConversion"/>
  </si>
  <si>
    <t>공석</t>
    <phoneticPr fontId="5" type="noConversion"/>
  </si>
  <si>
    <t>공석</t>
    <phoneticPr fontId="5" type="noConversion"/>
  </si>
  <si>
    <t>이윤환</t>
    <phoneticPr fontId="5" type="noConversion"/>
  </si>
  <si>
    <t>이윤환</t>
    <phoneticPr fontId="5" type="noConversion"/>
  </si>
  <si>
    <t>유장현</t>
    <phoneticPr fontId="5" type="noConversion"/>
  </si>
  <si>
    <t>이상현</t>
    <phoneticPr fontId="5" type="noConversion"/>
  </si>
  <si>
    <t>장선우</t>
    <phoneticPr fontId="7" type="noConversion"/>
  </si>
  <si>
    <t>장선우</t>
    <phoneticPr fontId="7" type="noConversion"/>
  </si>
  <si>
    <t>* 인      건     비 :  3,022,463,250원
* 관  리 운 영 비 :     123,700,000원
* 생      계     비 :     194,641,680원
* 기능보강사업비 :       2,100.000원</t>
    <phoneticPr fontId="4" type="noConversion"/>
  </si>
  <si>
    <t>*의료인력추가지원인건비 : 85,549,230원</t>
    <phoneticPr fontId="4" type="noConversion"/>
  </si>
  <si>
    <t>* 보조금 : 운영비 보조금이월금(40,000,000원),  시도구 운영비 보조금이월금 (9,850,000원),예금이자이월금(150,000원)</t>
    <phoneticPr fontId="4" type="noConversion"/>
  </si>
  <si>
    <t>6종인건비</t>
    <phoneticPr fontId="4" type="noConversion"/>
  </si>
  <si>
    <t>* 자부담 : 법인전입금이월금 (1,120,000원)</t>
    <phoneticPr fontId="4" type="noConversion"/>
  </si>
  <si>
    <t>* 자부담 : 입소비용수입이월금 ( 4,500,000원), 종사자식대이월금(15,000,000원), 
               기타 잡수입 이월금  (2,000,000원),  예금이자이월금 (170,000원),종사자식대예금이자이월금(30,000원)</t>
    <phoneticPr fontId="4" type="noConversion"/>
  </si>
  <si>
    <t>6종운영지원사업비</t>
    <phoneticPr fontId="5" type="noConversion"/>
  </si>
  <si>
    <t>◆6종운영지원사업비</t>
    <phoneticPr fontId="5" type="noConversion"/>
  </si>
  <si>
    <t>6종운영지원 차량운영비</t>
    <phoneticPr fontId="7" type="noConversion"/>
  </si>
  <si>
    <t>6종운영지원 이용인 간병인비</t>
    <phoneticPr fontId="7" type="noConversion"/>
  </si>
  <si>
    <t>도비 6종 인건비 직원</t>
    <phoneticPr fontId="5" type="noConversion"/>
  </si>
  <si>
    <t>사. 임직원 보수 일람표(6종운영지원 인건비)</t>
    <phoneticPr fontId="4" type="noConversion"/>
  </si>
  <si>
    <t>신규차량(특장차)구입및할부금</t>
    <phoneticPr fontId="5" type="noConversion"/>
  </si>
  <si>
    <t>신규차량(특장차)할부금</t>
    <phoneticPr fontId="5" type="noConversion"/>
  </si>
  <si>
    <t>관리동 방수및우레탄공사비용</t>
    <phoneticPr fontId="5" type="noConversion"/>
  </si>
  <si>
    <t>체육관바닥공사</t>
    <phoneticPr fontId="5" type="noConversion"/>
  </si>
  <si>
    <t>식당 바닥보수 공사비용</t>
    <phoneticPr fontId="5" type="noConversion"/>
  </si>
  <si>
    <t>직원교육실시경비</t>
    <phoneticPr fontId="7" type="noConversion"/>
  </si>
  <si>
    <t>사업종료</t>
    <phoneticPr fontId="5" type="noConversion"/>
  </si>
  <si>
    <t>2022년 12월 CMS 수수료 및 사용료</t>
    <phoneticPr fontId="5" type="noConversion"/>
  </si>
  <si>
    <t>2022년 의료폐기물 처리비용</t>
    <phoneticPr fontId="5" type="noConversion"/>
  </si>
  <si>
    <t>2022년 업무용차량주유비</t>
    <phoneticPr fontId="5" type="noConversion"/>
  </si>
  <si>
    <t>2022년 이용인취사연료비</t>
    <phoneticPr fontId="5" type="noConversion"/>
  </si>
  <si>
    <t>◆보조금 반환금</t>
    <phoneticPr fontId="5" type="noConversion"/>
  </si>
  <si>
    <t>*실비인원(20명*350,000원*12개월)</t>
    <phoneticPr fontId="4" type="noConversion"/>
  </si>
  <si>
    <t xml:space="preserve">*실비인원 1명 증원에 따른 증액 </t>
    <phoneticPr fontId="5" type="noConversion"/>
  </si>
  <si>
    <t>2022년 재활프로그램 종료에 따른 예산감액</t>
    <phoneticPr fontId="5" type="noConversion"/>
  </si>
  <si>
    <t>* 6종  인   건   비   :   134,400,810원
* 연장추가지원수당 :    28,855,300원
* 차  량  운  영  비  :      3,600,000원
* 간    병   인   비   :      3,000,000원
* 4종 운영지원보조금 :  32,840,000원</t>
    <phoneticPr fontId="4" type="noConversion"/>
  </si>
  <si>
    <t>*차량비구입지정후원금 감액</t>
    <phoneticPr fontId="5" type="noConversion"/>
  </si>
  <si>
    <t>2022년 보조금 이월금</t>
    <phoneticPr fontId="5" type="noConversion"/>
  </si>
  <si>
    <t>2022년 법인전입금 이월금</t>
    <phoneticPr fontId="5" type="noConversion"/>
  </si>
  <si>
    <t>2022년 자부담 이월금</t>
    <phoneticPr fontId="5" type="noConversion"/>
  </si>
  <si>
    <t>2022년 후원금 이월금</t>
    <phoneticPr fontId="5" type="noConversion"/>
  </si>
  <si>
    <t>2023년 종사자 호봉산정에 따른 인건비 증액</t>
    <phoneticPr fontId="5" type="noConversion"/>
  </si>
  <si>
    <t>*2023년 종사자 호봉산정에 따른 인건비 증액 
*2022년 환경개선사업 종료(22,000,000원)에 따른 감액</t>
    <phoneticPr fontId="5" type="noConversion"/>
  </si>
  <si>
    <t>2023년 의료지원 종사자 호봉산정에 따른 인건비 증액</t>
    <phoneticPr fontId="5" type="noConversion"/>
  </si>
  <si>
    <t>2023년 종사자 호봉산정 반영 제수당 증액</t>
    <phoneticPr fontId="4" type="noConversion"/>
  </si>
  <si>
    <t>2023년 종사자 인건비에 의한 예산증액</t>
    <phoneticPr fontId="4" type="noConversion"/>
  </si>
  <si>
    <t>전년도 예산반영 편성</t>
    <phoneticPr fontId="4" type="noConversion"/>
  </si>
  <si>
    <t>기관복사기(3대), 프린터기(4대)임대료</t>
    <phoneticPr fontId="7" type="noConversion"/>
  </si>
  <si>
    <t xml:space="preserve"> * 렌탈료, 소모품 구입, 인쇄비등 물가상승에 따른
    예산증액 </t>
    <phoneticPr fontId="4" type="noConversion"/>
  </si>
  <si>
    <t>기타운영비</t>
    <phoneticPr fontId="7" type="noConversion"/>
  </si>
  <si>
    <t>* 외부 출장중 소요경비 및 기타운영비 증액</t>
    <phoneticPr fontId="5" type="noConversion"/>
  </si>
  <si>
    <t>기초생활수급자 긴급생계비 지원 종료에 따른 감액</t>
    <phoneticPr fontId="5" type="noConversion"/>
  </si>
  <si>
    <t>기초생활수급자 긴급생계비,피복비지원 종료에 따른  자부담 피복비 예산 증액</t>
    <phoneticPr fontId="5" type="noConversion"/>
  </si>
  <si>
    <t>코로나19로 인해 발생한 의료비 감액</t>
    <phoneticPr fontId="5" type="noConversion"/>
  </si>
  <si>
    <t>2022년 환경개선사업지원 종료에 따른 예산감액</t>
    <phoneticPr fontId="4" type="noConversion"/>
  </si>
  <si>
    <t>6종운영
지원사업비</t>
    <phoneticPr fontId="5" type="noConversion"/>
  </si>
  <si>
    <t>2022년 재활프로그랭사업종료</t>
    <phoneticPr fontId="5" type="noConversion"/>
  </si>
  <si>
    <t>*2023년 기능보강 공기청정기 렌탈료지원사업</t>
    <phoneticPr fontId="5" type="noConversion"/>
  </si>
  <si>
    <t>공동모금회사업 : (제과나라제빵공주) 종료</t>
    <phoneticPr fontId="5" type="noConversion"/>
  </si>
  <si>
    <t>*업무용 차량주유비, 취사연료비등 예상액 편성</t>
    <phoneticPr fontId="5" type="noConversion"/>
  </si>
  <si>
    <t>⑤</t>
    <phoneticPr fontId="4" type="noConversion"/>
  </si>
  <si>
    <t>④</t>
    <phoneticPr fontId="4" type="noConversion"/>
  </si>
  <si>
    <t xml:space="preserve">①기능보강사업 1 : 거주시설 공기청정기렌탈지원 사업으로 예산은 </t>
    <phoneticPr fontId="4" type="noConversion"/>
  </si>
  <si>
    <t>②바보의나눔공모사업 선정으로예산은</t>
    <phoneticPr fontId="4" type="noConversion"/>
  </si>
  <si>
    <t>③</t>
    <phoneticPr fontId="4" type="noConversion"/>
  </si>
  <si>
    <t>* 기관차량구입 및 할부금  : 1,400,000원 X 12개월 = 16,800,000원
* 결연후원금                   :   300,000원 X 12개월 =   3,600,000원
* 바보의 나눔사업 선정     : 1,000,000원 X  9개월 =   9,000,000원</t>
    <phoneticPr fontId="4" type="noConversion"/>
  </si>
  <si>
    <t>* 후원금 : 비지정후원금이월금 (20,000,000원), 지정후원금이월금(10,000,000원), 예금이자이월금(970,000원)</t>
    <phoneticPr fontId="4" type="noConversion"/>
  </si>
  <si>
    <t>*공공요금 인상반영 예산증액</t>
    <phoneticPr fontId="5" type="noConversion"/>
  </si>
  <si>
    <t>* 전년도 지출대비 예산 감액
* 신규차량 구입할부금(2대) 할부종료에 따른 감액</t>
    <phoneticPr fontId="4" type="noConversion"/>
  </si>
  <si>
    <t>*2022년 바보의 나눔 사업종료
*2023년 바보의나눔재단 공모사업 선정 예산편성</t>
    <phoneticPr fontId="5" type="noConversion"/>
  </si>
  <si>
    <t>* 2022년 보조금 반환금</t>
    <phoneticPr fontId="5" type="noConversion"/>
  </si>
  <si>
    <t>전년도 지출대비 예산 편성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</si>
</sst>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_-* #,##0_-;\-* #,##0_-;_-* &quot;-&quot;??_-;_-@_-"/>
    <numFmt numFmtId="183" formatCode="##&quot;건&quot;"/>
    <numFmt numFmtId="184" formatCode="0.00_ "/>
    <numFmt numFmtId="185" formatCode="0.00_ ;[Red]\-0.00\ "/>
    <numFmt numFmtId="186" formatCode="0.0_ ;[Red]\-0.0\ "/>
    <numFmt numFmtId="187" formatCode="0.00;[Red]0.00"/>
    <numFmt numFmtId="188" formatCode="#,##0.0_ "/>
    <numFmt numFmtId="189" formatCode="#,###&quot;원&quot;"/>
    <numFmt numFmtId="190" formatCode="0.0_ "/>
    <numFmt numFmtId="191" formatCode="##&quot;시간&quot;"/>
    <numFmt numFmtId="192" formatCode="0.000%"/>
    <numFmt numFmtId="193" formatCode="##&quot;회&quot;"/>
    <numFmt numFmtId="194" formatCode="##&quot;일&quot;"/>
  </numFmts>
  <fonts count="72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b/>
      <sz val="8"/>
      <name val="바탕"/>
      <family val="1"/>
      <charset val="129"/>
    </font>
    <font>
      <b/>
      <sz val="6"/>
      <name val="바탕"/>
      <family val="1"/>
      <charset val="129"/>
    </font>
    <font>
      <b/>
      <sz val="10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b/>
      <sz val="9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바탕"/>
      <family val="1"/>
      <charset val="129"/>
    </font>
    <font>
      <sz val="11"/>
      <name val="바탕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  <font>
      <b/>
      <sz val="12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15"/>
      <name val="굴림"/>
      <family val="3"/>
      <charset val="129"/>
    </font>
    <font>
      <sz val="14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.5"/>
      <name val="굴림"/>
      <family val="3"/>
      <charset val="129"/>
    </font>
    <font>
      <sz val="8.5"/>
      <color indexed="8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u/>
      <sz val="10"/>
      <name val="굴림"/>
      <family val="3"/>
      <charset val="129"/>
    </font>
    <font>
      <b/>
      <u/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7.5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6"/>
      <name val="굴림"/>
      <family val="3"/>
      <charset val="129"/>
    </font>
    <font>
      <u/>
      <sz val="11"/>
      <color theme="10"/>
      <name val="굴림체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>
      <alignment vertical="center"/>
    </xf>
    <xf numFmtId="9" fontId="8" fillId="0" borderId="0" applyFont="0" applyFill="0" applyBorder="0" applyAlignment="0" applyProtection="0"/>
    <xf numFmtId="0" fontId="71" fillId="0" borderId="0" applyNumberFormat="0" applyFill="0" applyBorder="0" applyAlignment="0" applyProtection="0"/>
  </cellStyleXfs>
  <cellXfs count="1734">
    <xf numFmtId="0" fontId="0" fillId="0" borderId="0" xfId="0"/>
    <xf numFmtId="0" fontId="0" fillId="0" borderId="0" xfId="0"/>
    <xf numFmtId="42" fontId="10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42" fontId="12" fillId="0" borderId="22" xfId="16" applyFont="1" applyFill="1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16" fillId="0" borderId="0" xfId="18" applyFont="1">
      <alignment vertical="center"/>
    </xf>
    <xf numFmtId="41" fontId="18" fillId="0" borderId="0" xfId="18" applyFont="1">
      <alignment vertical="center"/>
    </xf>
    <xf numFmtId="41" fontId="19" fillId="0" borderId="0" xfId="18" applyFont="1" applyAlignment="1">
      <alignment horizontal="center" vertical="center"/>
    </xf>
    <xf numFmtId="41" fontId="17" fillId="0" borderId="0" xfId="18" applyFont="1">
      <alignment vertical="center"/>
    </xf>
    <xf numFmtId="41" fontId="17" fillId="0" borderId="0" xfId="18" applyFont="1" applyAlignment="1">
      <alignment horizontal="center" vertical="center"/>
    </xf>
    <xf numFmtId="41" fontId="24" fillId="0" borderId="0" xfId="18" applyFont="1">
      <alignment vertical="center"/>
    </xf>
    <xf numFmtId="41" fontId="26" fillId="0" borderId="0" xfId="18" applyFont="1">
      <alignment vertical="center"/>
    </xf>
    <xf numFmtId="41" fontId="21" fillId="0" borderId="0" xfId="18" applyFont="1" applyAlignment="1">
      <alignment horizontal="center" vertical="center"/>
    </xf>
    <xf numFmtId="41" fontId="27" fillId="0" borderId="0" xfId="18" applyFont="1">
      <alignment vertical="center"/>
    </xf>
    <xf numFmtId="41" fontId="12" fillId="0" borderId="22" xfId="1" applyFont="1" applyFill="1" applyBorder="1" applyAlignment="1">
      <alignment vertical="center"/>
    </xf>
    <xf numFmtId="41" fontId="0" fillId="0" borderId="0" xfId="1" applyFont="1"/>
    <xf numFmtId="41" fontId="23" fillId="0" borderId="6" xfId="18" applyFont="1" applyBorder="1" applyAlignment="1">
      <alignment horizontal="right" vertical="center"/>
    </xf>
    <xf numFmtId="41" fontId="23" fillId="9" borderId="70" xfId="18" applyFont="1" applyFill="1" applyBorder="1" applyAlignment="1">
      <alignment horizontal="right" vertical="center"/>
    </xf>
    <xf numFmtId="41" fontId="0" fillId="0" borderId="0" xfId="0" applyNumberFormat="1"/>
    <xf numFmtId="41" fontId="5" fillId="0" borderId="0" xfId="0" applyNumberFormat="1" applyFont="1"/>
    <xf numFmtId="0" fontId="17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84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41" fontId="18" fillId="0" borderId="0" xfId="18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41" fontId="19" fillId="0" borderId="0" xfId="18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 shrinkToFit="1"/>
    </xf>
    <xf numFmtId="0" fontId="19" fillId="0" borderId="91" xfId="0" applyFont="1" applyBorder="1" applyAlignment="1">
      <alignment horizontal="center" vertical="center" shrinkToFit="1"/>
    </xf>
    <xf numFmtId="176" fontId="19" fillId="0" borderId="0" xfId="0" applyNumberFormat="1" applyFont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 shrinkToFit="1"/>
    </xf>
    <xf numFmtId="176" fontId="19" fillId="0" borderId="101" xfId="0" applyNumberFormat="1" applyFont="1" applyBorder="1" applyAlignment="1">
      <alignment horizontal="center" vertical="center" shrinkToFit="1"/>
    </xf>
    <xf numFmtId="185" fontId="19" fillId="0" borderId="5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shrinkToFit="1"/>
    </xf>
    <xf numFmtId="176" fontId="19" fillId="0" borderId="71" xfId="0" applyNumberFormat="1" applyFont="1" applyBorder="1" applyAlignment="1">
      <alignment horizontal="right" vertical="center" shrinkToFit="1"/>
    </xf>
    <xf numFmtId="185" fontId="19" fillId="0" borderId="103" xfId="0" applyNumberFormat="1" applyFont="1" applyBorder="1" applyAlignment="1">
      <alignment horizontal="center" vertical="center" shrinkToFit="1"/>
    </xf>
    <xf numFmtId="176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horizontal="right" vertical="center" shrinkToFit="1"/>
    </xf>
    <xf numFmtId="176" fontId="23" fillId="0" borderId="67" xfId="0" applyNumberFormat="1" applyFont="1" applyBorder="1" applyAlignment="1">
      <alignment horizontal="right" vertical="center" shrinkToFit="1"/>
    </xf>
    <xf numFmtId="185" fontId="23" fillId="0" borderId="6" xfId="0" applyNumberFormat="1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176" fontId="23" fillId="0" borderId="33" xfId="0" applyNumberFormat="1" applyFont="1" applyBorder="1" applyAlignment="1">
      <alignment horizontal="right" vertical="center" shrinkToFit="1"/>
    </xf>
    <xf numFmtId="185" fontId="23" fillId="0" borderId="103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vertical="center"/>
    </xf>
    <xf numFmtId="41" fontId="20" fillId="0" borderId="0" xfId="0" applyNumberFormat="1" applyFont="1" applyAlignment="1">
      <alignment vertical="center"/>
    </xf>
    <xf numFmtId="0" fontId="23" fillId="0" borderId="12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0" fontId="23" fillId="0" borderId="104" xfId="0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vertical="center" shrinkToFit="1"/>
    </xf>
    <xf numFmtId="176" fontId="23" fillId="0" borderId="67" xfId="0" applyNumberFormat="1" applyFont="1" applyBorder="1" applyAlignment="1">
      <alignment vertical="center" shrinkToFit="1"/>
    </xf>
    <xf numFmtId="0" fontId="23" fillId="0" borderId="92" xfId="0" applyFont="1" applyBorder="1" applyAlignment="1">
      <alignment horizontal="center" vertical="center" shrinkToFit="1"/>
    </xf>
    <xf numFmtId="176" fontId="23" fillId="0" borderId="92" xfId="0" applyNumberFormat="1" applyFont="1" applyBorder="1" applyAlignment="1">
      <alignment horizontal="center" vertical="center" shrinkToFit="1"/>
    </xf>
    <xf numFmtId="176" fontId="23" fillId="0" borderId="13" xfId="0" applyNumberFormat="1" applyFont="1" applyBorder="1" applyAlignment="1">
      <alignment vertical="center" shrinkToFit="1"/>
    </xf>
    <xf numFmtId="0" fontId="23" fillId="0" borderId="102" xfId="0" applyFont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23" fillId="0" borderId="6" xfId="0" applyFont="1" applyBorder="1" applyAlignment="1">
      <alignment horizontal="center" vertical="center" wrapText="1" shrinkToFit="1"/>
    </xf>
    <xf numFmtId="176" fontId="23" fillId="0" borderId="3" xfId="0" applyNumberFormat="1" applyFont="1" applyBorder="1" applyAlignment="1">
      <alignment vertical="center" shrinkToFit="1"/>
    </xf>
    <xf numFmtId="0" fontId="20" fillId="0" borderId="10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3" fillId="0" borderId="106" xfId="0" applyFont="1" applyBorder="1" applyAlignment="1">
      <alignment vertical="center" shrinkToFit="1"/>
    </xf>
    <xf numFmtId="0" fontId="23" fillId="0" borderId="3" xfId="0" applyFont="1" applyBorder="1" applyAlignment="1">
      <alignment vertical="center" shrinkToFit="1"/>
    </xf>
    <xf numFmtId="0" fontId="23" fillId="0" borderId="4" xfId="0" applyFont="1" applyBorder="1" applyAlignment="1">
      <alignment vertical="center" shrinkToFit="1"/>
    </xf>
    <xf numFmtId="185" fontId="23" fillId="0" borderId="4" xfId="0" applyNumberFormat="1" applyFont="1" applyBorder="1" applyAlignment="1">
      <alignment vertical="center" shrinkToFit="1"/>
    </xf>
    <xf numFmtId="176" fontId="23" fillId="0" borderId="5" xfId="0" applyNumberFormat="1" applyFont="1" applyBorder="1" applyAlignment="1">
      <alignment horizontal="right" vertical="center" shrinkToFit="1"/>
    </xf>
    <xf numFmtId="176" fontId="23" fillId="0" borderId="71" xfId="0" applyNumberFormat="1" applyFont="1" applyBorder="1" applyAlignment="1">
      <alignment horizontal="right" vertical="center" shrinkToFit="1"/>
    </xf>
    <xf numFmtId="0" fontId="23" fillId="0" borderId="72" xfId="0" applyFont="1" applyBorder="1" applyAlignment="1">
      <alignment horizontal="center" vertical="center" shrinkToFit="1"/>
    </xf>
    <xf numFmtId="0" fontId="23" fillId="0" borderId="94" xfId="0" applyFont="1" applyBorder="1" applyAlignment="1">
      <alignment horizontal="center" vertical="center" shrinkToFit="1"/>
    </xf>
    <xf numFmtId="0" fontId="23" fillId="0" borderId="94" xfId="0" applyFont="1" applyBorder="1" applyAlignment="1">
      <alignment vertical="center" shrinkToFit="1"/>
    </xf>
    <xf numFmtId="0" fontId="23" fillId="0" borderId="107" xfId="0" applyFont="1" applyBorder="1" applyAlignment="1">
      <alignment vertical="center" shrinkToFit="1"/>
    </xf>
    <xf numFmtId="185" fontId="23" fillId="0" borderId="94" xfId="0" applyNumberFormat="1" applyFont="1" applyBorder="1" applyAlignment="1">
      <alignment vertical="center" shrinkToFit="1"/>
    </xf>
    <xf numFmtId="0" fontId="23" fillId="0" borderId="108" xfId="0" applyFont="1" applyBorder="1" applyAlignment="1">
      <alignment horizontal="center" vertical="center" shrinkToFit="1"/>
    </xf>
    <xf numFmtId="0" fontId="23" fillId="0" borderId="83" xfId="0" applyFont="1" applyBorder="1" applyAlignment="1">
      <alignment horizontal="center" vertical="center" shrinkToFit="1"/>
    </xf>
    <xf numFmtId="176" fontId="23" fillId="0" borderId="83" xfId="0" applyNumberFormat="1" applyFont="1" applyBorder="1" applyAlignment="1">
      <alignment horizontal="right" vertical="center" shrinkToFit="1"/>
    </xf>
    <xf numFmtId="176" fontId="23" fillId="0" borderId="68" xfId="0" applyNumberFormat="1" applyFont="1" applyBorder="1" applyAlignment="1">
      <alignment horizontal="right" vertical="center" shrinkToFit="1"/>
    </xf>
    <xf numFmtId="185" fontId="23" fillId="0" borderId="109" xfId="0" applyNumberFormat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84" fontId="24" fillId="0" borderId="0" xfId="0" applyNumberFormat="1" applyFont="1" applyAlignment="1">
      <alignment horizontal="center" vertical="center" shrinkToFit="1"/>
    </xf>
    <xf numFmtId="0" fontId="27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84" fontId="2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7" fillId="6" borderId="6" xfId="1" applyNumberFormat="1" applyFont="1" applyFill="1" applyBorder="1" applyAlignment="1">
      <alignment horizontal="right" vertical="center" shrinkToFit="1"/>
    </xf>
    <xf numFmtId="176" fontId="7" fillId="0" borderId="6" xfId="1" applyNumberFormat="1" applyFont="1" applyFill="1" applyBorder="1" applyAlignment="1">
      <alignment horizontal="right" vertical="center" shrinkToFit="1"/>
    </xf>
    <xf numFmtId="176" fontId="7" fillId="6" borderId="6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7" fillId="0" borderId="0" xfId="0" applyFont="1" applyBorder="1" applyAlignment="1">
      <alignment vertical="center"/>
    </xf>
    <xf numFmtId="9" fontId="24" fillId="0" borderId="0" xfId="0" applyNumberFormat="1" applyFont="1" applyAlignment="1">
      <alignment horizontal="left" vertical="center"/>
    </xf>
    <xf numFmtId="179" fontId="24" fillId="0" borderId="0" xfId="0" applyNumberFormat="1" applyFont="1" applyAlignment="1">
      <alignment horizontal="center" vertical="center"/>
    </xf>
    <xf numFmtId="179" fontId="24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79" fontId="24" fillId="0" borderId="0" xfId="0" applyNumberFormat="1" applyFont="1" applyAlignment="1">
      <alignment horizontal="right" vertical="center"/>
    </xf>
    <xf numFmtId="0" fontId="17" fillId="0" borderId="111" xfId="0" applyFont="1" applyBorder="1" applyAlignment="1">
      <alignment horizontal="center" vertical="center"/>
    </xf>
    <xf numFmtId="179" fontId="17" fillId="0" borderId="114" xfId="0" applyNumberFormat="1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179" fontId="17" fillId="0" borderId="116" xfId="0" applyNumberFormat="1" applyFont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right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179" fontId="17" fillId="8" borderId="119" xfId="0" applyNumberFormat="1" applyFont="1" applyFill="1" applyBorder="1" applyAlignment="1">
      <alignment horizontal="center" vertical="center"/>
    </xf>
    <xf numFmtId="179" fontId="24" fillId="0" borderId="6" xfId="0" applyNumberFormat="1" applyFont="1" applyBorder="1" applyAlignment="1">
      <alignment horizontal="distributed" vertical="center"/>
    </xf>
    <xf numFmtId="0" fontId="24" fillId="0" borderId="6" xfId="0" applyFont="1" applyBorder="1" applyAlignment="1">
      <alignment horizontal="distributed" vertical="center"/>
    </xf>
    <xf numFmtId="179" fontId="24" fillId="0" borderId="6" xfId="0" applyNumberFormat="1" applyFont="1" applyBorder="1" applyAlignment="1">
      <alignment horizontal="right" vertical="center"/>
    </xf>
    <xf numFmtId="0" fontId="24" fillId="0" borderId="9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179" fontId="24" fillId="0" borderId="121" xfId="0" applyNumberFormat="1" applyFont="1" applyBorder="1" applyAlignment="1">
      <alignment horizontal="left" vertical="center"/>
    </xf>
    <xf numFmtId="179" fontId="27" fillId="0" borderId="0" xfId="0" applyNumberFormat="1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179" fontId="24" fillId="0" borderId="40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79" fontId="24" fillId="0" borderId="9" xfId="0" applyNumberFormat="1" applyFont="1" applyBorder="1" applyAlignment="1">
      <alignment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right" vertical="center"/>
    </xf>
    <xf numFmtId="9" fontId="24" fillId="0" borderId="9" xfId="0" applyNumberFormat="1" applyFont="1" applyBorder="1" applyAlignment="1">
      <alignment vertical="center"/>
    </xf>
    <xf numFmtId="179" fontId="24" fillId="0" borderId="30" xfId="0" applyNumberFormat="1" applyFont="1" applyBorder="1" applyAlignment="1">
      <alignment vertical="center"/>
    </xf>
    <xf numFmtId="179" fontId="24" fillId="0" borderId="6" xfId="0" applyNumberFormat="1" applyFont="1" applyBorder="1" applyAlignment="1">
      <alignment vertical="center"/>
    </xf>
    <xf numFmtId="179" fontId="27" fillId="0" borderId="0" xfId="0" applyNumberFormat="1" applyFont="1" applyAlignment="1">
      <alignment vertical="center"/>
    </xf>
    <xf numFmtId="0" fontId="24" fillId="0" borderId="3" xfId="0" applyFont="1" applyBorder="1" applyAlignment="1">
      <alignment horizontal="distributed" vertical="center"/>
    </xf>
    <xf numFmtId="179" fontId="24" fillId="0" borderId="3" xfId="0" applyNumberFormat="1" applyFont="1" applyBorder="1" applyAlignment="1">
      <alignment horizontal="right" vertical="center"/>
    </xf>
    <xf numFmtId="0" fontId="24" fillId="0" borderId="83" xfId="0" applyFont="1" applyBorder="1" applyAlignment="1">
      <alignment horizontal="distributed" vertical="center"/>
    </xf>
    <xf numFmtId="179" fontId="24" fillId="0" borderId="83" xfId="0" applyNumberFormat="1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/>
    </xf>
    <xf numFmtId="179" fontId="24" fillId="0" borderId="83" xfId="0" applyNumberFormat="1" applyFont="1" applyBorder="1" applyAlignment="1">
      <alignment horizontal="right" vertical="center"/>
    </xf>
    <xf numFmtId="179" fontId="24" fillId="0" borderId="85" xfId="0" applyNumberFormat="1" applyFont="1" applyBorder="1" applyAlignment="1">
      <alignment vertical="center"/>
    </xf>
    <xf numFmtId="179" fontId="24" fillId="0" borderId="85" xfId="0" applyNumberFormat="1" applyFont="1" applyBorder="1" applyAlignment="1">
      <alignment horizontal="center" vertical="center"/>
    </xf>
    <xf numFmtId="179" fontId="24" fillId="0" borderId="85" xfId="0" applyNumberFormat="1" applyFont="1" applyBorder="1" applyAlignment="1">
      <alignment horizontal="right" vertical="center"/>
    </xf>
    <xf numFmtId="9" fontId="24" fillId="0" borderId="85" xfId="0" applyNumberFormat="1" applyFont="1" applyBorder="1" applyAlignment="1">
      <alignment vertical="center"/>
    </xf>
    <xf numFmtId="179" fontId="24" fillId="0" borderId="69" xfId="0" applyNumberFormat="1" applyFont="1" applyBorder="1" applyAlignment="1">
      <alignment vertical="center"/>
    </xf>
    <xf numFmtId="179" fontId="24" fillId="0" borderId="83" xfId="0" applyNumberFormat="1" applyFont="1" applyBorder="1" applyAlignment="1">
      <alignment vertical="center"/>
    </xf>
    <xf numFmtId="179" fontId="24" fillId="0" borderId="44" xfId="0" applyNumberFormat="1" applyFont="1" applyBorder="1" applyAlignment="1">
      <alignment horizontal="left" vertical="center"/>
    </xf>
    <xf numFmtId="179" fontId="24" fillId="0" borderId="5" xfId="0" applyNumberFormat="1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179" fontId="24" fillId="0" borderId="5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0" fontId="24" fillId="0" borderId="3" xfId="0" applyFont="1" applyBorder="1" applyAlignment="1">
      <alignment horizontal="distributed" vertical="center" wrapText="1"/>
    </xf>
    <xf numFmtId="179" fontId="24" fillId="0" borderId="125" xfId="0" applyNumberFormat="1" applyFont="1" applyBorder="1" applyAlignment="1">
      <alignment vertical="center"/>
    </xf>
    <xf numFmtId="179" fontId="24" fillId="0" borderId="126" xfId="0" applyNumberFormat="1" applyFont="1" applyBorder="1" applyAlignment="1">
      <alignment horizontal="left" vertical="center"/>
    </xf>
    <xf numFmtId="179" fontId="24" fillId="0" borderId="127" xfId="0" applyNumberFormat="1" applyFont="1" applyBorder="1" applyAlignment="1">
      <alignment horizontal="distributed" vertical="center"/>
    </xf>
    <xf numFmtId="0" fontId="24" fillId="0" borderId="125" xfId="0" applyFont="1" applyBorder="1" applyAlignment="1">
      <alignment horizontal="distributed" vertical="center"/>
    </xf>
    <xf numFmtId="179" fontId="24" fillId="0" borderId="125" xfId="0" applyNumberFormat="1" applyFont="1" applyBorder="1" applyAlignment="1">
      <alignment horizontal="center" vertical="center"/>
    </xf>
    <xf numFmtId="0" fontId="24" fillId="0" borderId="125" xfId="0" applyFont="1" applyBorder="1" applyAlignment="1">
      <alignment horizontal="center" vertical="center"/>
    </xf>
    <xf numFmtId="179" fontId="24" fillId="0" borderId="125" xfId="0" applyNumberFormat="1" applyFont="1" applyBorder="1" applyAlignment="1">
      <alignment horizontal="right" vertical="center"/>
    </xf>
    <xf numFmtId="179" fontId="24" fillId="0" borderId="130" xfId="0" applyNumberFormat="1" applyFont="1" applyBorder="1" applyAlignment="1">
      <alignment vertical="center"/>
    </xf>
    <xf numFmtId="179" fontId="24" fillId="0" borderId="130" xfId="0" applyNumberFormat="1" applyFont="1" applyBorder="1" applyAlignment="1">
      <alignment horizontal="center" vertical="center"/>
    </xf>
    <xf numFmtId="179" fontId="24" fillId="0" borderId="130" xfId="0" applyNumberFormat="1" applyFont="1" applyBorder="1" applyAlignment="1">
      <alignment horizontal="right" vertical="center"/>
    </xf>
    <xf numFmtId="9" fontId="24" fillId="0" borderId="130" xfId="0" applyNumberFormat="1" applyFont="1" applyBorder="1" applyAlignment="1">
      <alignment vertical="center"/>
    </xf>
    <xf numFmtId="179" fontId="24" fillId="0" borderId="66" xfId="0" applyNumberFormat="1" applyFont="1" applyBorder="1" applyAlignment="1">
      <alignment vertical="center"/>
    </xf>
    <xf numFmtId="0" fontId="24" fillId="0" borderId="0" xfId="0" applyFont="1" applyAlignment="1">
      <alignment horizontal="distributed" vertical="center"/>
    </xf>
    <xf numFmtId="179" fontId="24" fillId="0" borderId="0" xfId="0" applyNumberFormat="1" applyFont="1" applyAlignment="1">
      <alignment vertical="center"/>
    </xf>
    <xf numFmtId="9" fontId="24" fillId="0" borderId="0" xfId="0" applyNumberFormat="1" applyFont="1" applyAlignment="1">
      <alignment vertical="center"/>
    </xf>
    <xf numFmtId="179" fontId="24" fillId="0" borderId="21" xfId="0" applyNumberFormat="1" applyFont="1" applyBorder="1" applyAlignment="1">
      <alignment vertical="center"/>
    </xf>
    <xf numFmtId="179" fontId="24" fillId="0" borderId="21" xfId="0" applyNumberFormat="1" applyFont="1" applyBorder="1" applyAlignment="1">
      <alignment horizontal="center" vertical="center"/>
    </xf>
    <xf numFmtId="179" fontId="24" fillId="0" borderId="21" xfId="0" applyNumberFormat="1" applyFont="1" applyBorder="1" applyAlignment="1">
      <alignment horizontal="right" vertical="center"/>
    </xf>
    <xf numFmtId="9" fontId="24" fillId="0" borderId="21" xfId="0" applyNumberFormat="1" applyFont="1" applyBorder="1" applyAlignment="1">
      <alignment vertical="center"/>
    </xf>
    <xf numFmtId="179" fontId="24" fillId="0" borderId="31" xfId="0" applyNumberFormat="1" applyFont="1" applyBorder="1" applyAlignment="1">
      <alignment vertical="center"/>
    </xf>
    <xf numFmtId="0" fontId="24" fillId="0" borderId="131" xfId="0" applyFont="1" applyBorder="1" applyAlignment="1">
      <alignment horizontal="center" vertical="center"/>
    </xf>
    <xf numFmtId="0" fontId="24" fillId="0" borderId="131" xfId="0" applyFont="1" applyBorder="1" applyAlignment="1">
      <alignment horizontal="distributed" vertical="center"/>
    </xf>
    <xf numFmtId="179" fontId="24" fillId="0" borderId="131" xfId="0" applyNumberFormat="1" applyFont="1" applyBorder="1" applyAlignment="1">
      <alignment horizontal="center" vertical="center"/>
    </xf>
    <xf numFmtId="179" fontId="24" fillId="0" borderId="131" xfId="0" applyNumberFormat="1" applyFont="1" applyBorder="1" applyAlignment="1">
      <alignment horizontal="right" vertical="center"/>
    </xf>
    <xf numFmtId="179" fontId="24" fillId="0" borderId="131" xfId="0" applyNumberFormat="1" applyFont="1" applyBorder="1" applyAlignment="1">
      <alignment vertical="center"/>
    </xf>
    <xf numFmtId="9" fontId="24" fillId="0" borderId="131" xfId="0" applyNumberFormat="1" applyFont="1" applyBorder="1" applyAlignment="1">
      <alignment vertical="center"/>
    </xf>
    <xf numFmtId="179" fontId="24" fillId="0" borderId="131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9" fontId="27" fillId="0" borderId="0" xfId="0" applyNumberFormat="1" applyFont="1" applyAlignment="1">
      <alignment vertical="center"/>
    </xf>
    <xf numFmtId="179" fontId="27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distributed" vertical="center"/>
    </xf>
    <xf numFmtId="0" fontId="19" fillId="0" borderId="133" xfId="0" applyFont="1" applyBorder="1" applyAlignment="1">
      <alignment horizontal="center" vertical="center"/>
    </xf>
    <xf numFmtId="179" fontId="19" fillId="0" borderId="38" xfId="0" applyNumberFormat="1" applyFont="1" applyBorder="1" applyAlignment="1">
      <alignment horizontal="center" vertical="center"/>
    </xf>
    <xf numFmtId="179" fontId="22" fillId="8" borderId="5" xfId="0" applyNumberFormat="1" applyFont="1" applyFill="1" applyBorder="1" applyAlignment="1">
      <alignment horizontal="right" vertical="center"/>
    </xf>
    <xf numFmtId="179" fontId="17" fillId="8" borderId="71" xfId="0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distributed" vertical="center"/>
    </xf>
    <xf numFmtId="179" fontId="22" fillId="0" borderId="6" xfId="0" applyNumberFormat="1" applyFont="1" applyBorder="1" applyAlignment="1">
      <alignment horizontal="right" vertical="center"/>
    </xf>
    <xf numFmtId="179" fontId="24" fillId="0" borderId="33" xfId="0" applyNumberFormat="1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/>
    </xf>
    <xf numFmtId="0" fontId="20" fillId="0" borderId="9" xfId="0" applyFont="1" applyBorder="1" applyAlignment="1">
      <alignment horizontal="distributed" vertical="center"/>
    </xf>
    <xf numFmtId="0" fontId="20" fillId="0" borderId="30" xfId="0" applyFont="1" applyBorder="1" applyAlignment="1">
      <alignment horizontal="distributed" vertical="center"/>
    </xf>
    <xf numFmtId="179" fontId="20" fillId="0" borderId="8" xfId="0" applyNumberFormat="1" applyFont="1" applyBorder="1" applyAlignment="1">
      <alignment horizontal="center" vertical="center"/>
    </xf>
    <xf numFmtId="179" fontId="20" fillId="0" borderId="9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9" xfId="0" applyNumberFormat="1" applyFont="1" applyBorder="1" applyAlignment="1">
      <alignment horizontal="center" vertical="center"/>
    </xf>
    <xf numFmtId="179" fontId="20" fillId="0" borderId="30" xfId="0" applyNumberFormat="1" applyFont="1" applyBorder="1" applyAlignment="1">
      <alignment horizontal="right" vertical="center"/>
    </xf>
    <xf numFmtId="179" fontId="20" fillId="0" borderId="6" xfId="0" applyNumberFormat="1" applyFont="1" applyBorder="1" applyAlignment="1">
      <alignment horizontal="right" vertical="center"/>
    </xf>
    <xf numFmtId="0" fontId="20" fillId="0" borderId="12" xfId="0" applyFont="1" applyBorder="1" applyAlignment="1">
      <alignment horizontal="center" vertical="center"/>
    </xf>
    <xf numFmtId="0" fontId="20" fillId="0" borderId="3" xfId="0" applyFont="1" applyBorder="1" applyAlignment="1">
      <alignment horizontal="distributed" vertical="center"/>
    </xf>
    <xf numFmtId="0" fontId="20" fillId="0" borderId="92" xfId="0" applyFont="1" applyBorder="1" applyAlignment="1">
      <alignment horizontal="center" vertical="center"/>
    </xf>
    <xf numFmtId="0" fontId="20" fillId="0" borderId="4" xfId="0" applyFont="1" applyBorder="1" applyAlignment="1">
      <alignment horizontal="distributed" vertical="center"/>
    </xf>
    <xf numFmtId="0" fontId="20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distributed" vertical="center"/>
    </xf>
    <xf numFmtId="0" fontId="20" fillId="0" borderId="134" xfId="0" applyFont="1" applyBorder="1" applyAlignment="1">
      <alignment horizontal="center" vertical="center"/>
    </xf>
    <xf numFmtId="0" fontId="20" fillId="0" borderId="21" xfId="0" applyFont="1" applyBorder="1" applyAlignment="1">
      <alignment horizontal="distributed" vertical="center"/>
    </xf>
    <xf numFmtId="0" fontId="20" fillId="0" borderId="31" xfId="0" applyFont="1" applyBorder="1" applyAlignment="1">
      <alignment horizontal="distributed" vertical="center"/>
    </xf>
    <xf numFmtId="0" fontId="20" fillId="0" borderId="105" xfId="0" applyFont="1" applyBorder="1" applyAlignment="1">
      <alignment horizontal="center" vertical="center"/>
    </xf>
    <xf numFmtId="0" fontId="20" fillId="0" borderId="135" xfId="0" applyFont="1" applyBorder="1" applyAlignment="1">
      <alignment horizontal="distributed" vertical="center"/>
    </xf>
    <xf numFmtId="0" fontId="20" fillId="0" borderId="136" xfId="0" applyFont="1" applyBorder="1" applyAlignment="1">
      <alignment horizontal="center" vertical="center"/>
    </xf>
    <xf numFmtId="0" fontId="20" fillId="0" borderId="26" xfId="0" applyFont="1" applyBorder="1" applyAlignment="1">
      <alignment horizontal="distributed" vertical="center"/>
    </xf>
    <xf numFmtId="0" fontId="20" fillId="0" borderId="81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3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79" fontId="20" fillId="0" borderId="8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distributed" vertical="center" wrapText="1"/>
    </xf>
    <xf numFmtId="0" fontId="20" fillId="0" borderId="6" xfId="0" applyFont="1" applyBorder="1" applyAlignment="1">
      <alignment horizontal="distributed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85" xfId="0" applyFont="1" applyBorder="1" applyAlignment="1">
      <alignment horizontal="distributed" vertical="center"/>
    </xf>
    <xf numFmtId="0" fontId="20" fillId="0" borderId="69" xfId="0" applyFont="1" applyBorder="1" applyAlignment="1">
      <alignment horizontal="distributed" vertical="center"/>
    </xf>
    <xf numFmtId="179" fontId="20" fillId="0" borderId="84" xfId="0" applyNumberFormat="1" applyFont="1" applyBorder="1" applyAlignment="1">
      <alignment horizontal="center" vertical="center"/>
    </xf>
    <xf numFmtId="179" fontId="20" fillId="0" borderId="85" xfId="0" applyNumberFormat="1" applyFont="1" applyBorder="1" applyAlignment="1">
      <alignment vertical="center"/>
    </xf>
    <xf numFmtId="0" fontId="20" fillId="0" borderId="85" xfId="0" applyFont="1" applyBorder="1" applyAlignment="1">
      <alignment horizontal="center" vertical="center"/>
    </xf>
    <xf numFmtId="179" fontId="20" fillId="0" borderId="85" xfId="0" applyNumberFormat="1" applyFont="1" applyBorder="1" applyAlignment="1">
      <alignment horizontal="right" vertical="center"/>
    </xf>
    <xf numFmtId="179" fontId="20" fillId="0" borderId="85" xfId="0" applyNumberFormat="1" applyFont="1" applyBorder="1" applyAlignment="1">
      <alignment horizontal="center" vertical="center"/>
    </xf>
    <xf numFmtId="179" fontId="20" fillId="0" borderId="69" xfId="0" applyNumberFormat="1" applyFont="1" applyBorder="1" applyAlignment="1">
      <alignment horizontal="right" vertical="center"/>
    </xf>
    <xf numFmtId="179" fontId="20" fillId="0" borderId="83" xfId="0" applyNumberFormat="1" applyFont="1" applyBorder="1" applyAlignment="1">
      <alignment horizontal="right" vertical="center"/>
    </xf>
    <xf numFmtId="179" fontId="24" fillId="0" borderId="68" xfId="0" applyNumberFormat="1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right" vertical="center"/>
    </xf>
    <xf numFmtId="176" fontId="23" fillId="0" borderId="6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vertical="center"/>
    </xf>
    <xf numFmtId="0" fontId="23" fillId="0" borderId="6" xfId="0" applyFont="1" applyBorder="1" applyAlignment="1">
      <alignment horizontal="distributed" vertical="center"/>
    </xf>
    <xf numFmtId="186" fontId="20" fillId="0" borderId="6" xfId="0" applyNumberFormat="1" applyFont="1" applyBorder="1" applyAlignment="1">
      <alignment horizontal="center" vertical="center"/>
    </xf>
    <xf numFmtId="176" fontId="24" fillId="0" borderId="6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wrapText="1"/>
    </xf>
    <xf numFmtId="178" fontId="19" fillId="0" borderId="5" xfId="0" applyNumberFormat="1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3" fillId="0" borderId="13" xfId="0" applyFont="1" applyBorder="1" applyAlignment="1">
      <alignment horizontal="distributed" vertical="center"/>
    </xf>
    <xf numFmtId="178" fontId="23" fillId="0" borderId="6" xfId="0" applyNumberFormat="1" applyFont="1" applyBorder="1" applyAlignment="1">
      <alignment horizontal="center" vertical="center" wrapText="1"/>
    </xf>
    <xf numFmtId="176" fontId="27" fillId="0" borderId="33" xfId="0" applyNumberFormat="1" applyFont="1" applyBorder="1" applyAlignment="1">
      <alignment vertical="center"/>
    </xf>
    <xf numFmtId="0" fontId="23" fillId="0" borderId="12" xfId="0" applyFont="1" applyBorder="1" applyAlignment="1">
      <alignment horizontal="distributed" vertical="center"/>
    </xf>
    <xf numFmtId="0" fontId="27" fillId="0" borderId="33" xfId="0" applyFont="1" applyBorder="1" applyAlignment="1">
      <alignment vertical="center"/>
    </xf>
    <xf numFmtId="0" fontId="23" fillId="0" borderId="20" xfId="0" applyFont="1" applyBorder="1" applyAlignment="1">
      <alignment horizontal="distributed" vertical="center"/>
    </xf>
    <xf numFmtId="0" fontId="23" fillId="12" borderId="20" xfId="0" applyFont="1" applyFill="1" applyBorder="1" applyAlignment="1">
      <alignment horizontal="distributed" vertical="center"/>
    </xf>
    <xf numFmtId="176" fontId="23" fillId="12" borderId="6" xfId="0" applyNumberFormat="1" applyFont="1" applyFill="1" applyBorder="1" applyAlignment="1">
      <alignment horizontal="right" vertical="center"/>
    </xf>
    <xf numFmtId="176" fontId="23" fillId="12" borderId="6" xfId="0" applyNumberFormat="1" applyFont="1" applyFill="1" applyBorder="1" applyAlignment="1">
      <alignment vertical="center"/>
    </xf>
    <xf numFmtId="178" fontId="23" fillId="12" borderId="5" xfId="0" applyNumberFormat="1" applyFont="1" applyFill="1" applyBorder="1" applyAlignment="1">
      <alignment horizontal="center" vertical="center" wrapText="1"/>
    </xf>
    <xf numFmtId="0" fontId="27" fillId="12" borderId="33" xfId="0" applyFont="1" applyFill="1" applyBorder="1" applyAlignment="1">
      <alignment vertical="center"/>
    </xf>
    <xf numFmtId="178" fontId="23" fillId="0" borderId="5" xfId="0" applyNumberFormat="1" applyFont="1" applyBorder="1" applyAlignment="1">
      <alignment horizontal="center" vertical="center" wrapText="1"/>
    </xf>
    <xf numFmtId="0" fontId="23" fillId="0" borderId="92" xfId="0" applyFont="1" applyBorder="1" applyAlignment="1">
      <alignment horizontal="distributed" vertical="center"/>
    </xf>
    <xf numFmtId="0" fontId="23" fillId="0" borderId="3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wrapText="1"/>
    </xf>
    <xf numFmtId="0" fontId="23" fillId="0" borderId="5" xfId="0" applyFont="1" applyBorder="1" applyAlignment="1">
      <alignment horizontal="distributed" vertical="center"/>
    </xf>
    <xf numFmtId="0" fontId="20" fillId="0" borderId="3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distributed" vertical="center"/>
    </xf>
    <xf numFmtId="0" fontId="23" fillId="12" borderId="13" xfId="0" applyFont="1" applyFill="1" applyBorder="1" applyAlignment="1">
      <alignment horizontal="distributed" vertical="center"/>
    </xf>
    <xf numFmtId="0" fontId="21" fillId="12" borderId="33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33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3" fillId="0" borderId="72" xfId="0" applyFont="1" applyBorder="1" applyAlignment="1">
      <alignment horizontal="distributed" vertical="center"/>
    </xf>
    <xf numFmtId="0" fontId="23" fillId="0" borderId="94" xfId="0" applyFont="1" applyBorder="1" applyAlignment="1">
      <alignment horizontal="distributed" vertical="center"/>
    </xf>
    <xf numFmtId="0" fontId="23" fillId="0" borderId="83" xfId="0" applyFont="1" applyBorder="1" applyAlignment="1">
      <alignment horizontal="distributed" vertical="center"/>
    </xf>
    <xf numFmtId="178" fontId="23" fillId="0" borderId="94" xfId="0" applyNumberFormat="1" applyFont="1" applyBorder="1" applyAlignment="1">
      <alignment horizontal="center" vertical="center" wrapText="1"/>
    </xf>
    <xf numFmtId="0" fontId="20" fillId="0" borderId="68" xfId="0" applyFont="1" applyBorder="1" applyAlignment="1">
      <alignment vertical="center" wrapText="1"/>
    </xf>
    <xf numFmtId="0" fontId="20" fillId="0" borderId="29" xfId="0" applyFont="1" applyBorder="1" applyAlignment="1">
      <alignment vertical="center"/>
    </xf>
    <xf numFmtId="176" fontId="20" fillId="0" borderId="29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187" fontId="20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 shrinkToFit="1"/>
    </xf>
    <xf numFmtId="0" fontId="24" fillId="0" borderId="33" xfId="0" applyFont="1" applyBorder="1" applyAlignment="1">
      <alignment vertical="center" wrapText="1"/>
    </xf>
    <xf numFmtId="187" fontId="20" fillId="0" borderId="83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185" fontId="19" fillId="0" borderId="5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41" fontId="27" fillId="0" borderId="33" xfId="18" applyFont="1" applyBorder="1">
      <alignment vertical="center"/>
    </xf>
    <xf numFmtId="176" fontId="27" fillId="0" borderId="0" xfId="0" applyNumberFormat="1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0" fontId="20" fillId="19" borderId="6" xfId="0" applyFont="1" applyFill="1" applyBorder="1" applyAlignment="1">
      <alignment horizontal="distributed" vertical="center"/>
    </xf>
    <xf numFmtId="0" fontId="23" fillId="0" borderId="33" xfId="0" applyFont="1" applyBorder="1" applyAlignment="1">
      <alignment vertical="center" wrapText="1" shrinkToFit="1"/>
    </xf>
    <xf numFmtId="0" fontId="27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/>
    </xf>
    <xf numFmtId="0" fontId="20" fillId="0" borderId="6" xfId="0" applyFont="1" applyBorder="1" applyAlignment="1">
      <alignment vertical="center" shrinkToFit="1"/>
    </xf>
    <xf numFmtId="0" fontId="23" fillId="0" borderId="33" xfId="0" applyFont="1" applyBorder="1" applyAlignment="1">
      <alignment vertical="center" shrinkToFit="1"/>
    </xf>
    <xf numFmtId="0" fontId="25" fillId="0" borderId="6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 wrapText="1"/>
    </xf>
    <xf numFmtId="0" fontId="20" fillId="0" borderId="83" xfId="0" applyFont="1" applyBorder="1" applyAlignment="1">
      <alignment horizontal="distributed" vertical="center"/>
    </xf>
    <xf numFmtId="186" fontId="20" fillId="0" borderId="83" xfId="0" applyNumberFormat="1" applyFont="1" applyBorder="1" applyAlignment="1">
      <alignment horizontal="center" vertical="center"/>
    </xf>
    <xf numFmtId="0" fontId="27" fillId="0" borderId="68" xfId="0" applyFont="1" applyBorder="1" applyAlignment="1">
      <alignment vertical="center"/>
    </xf>
    <xf numFmtId="176" fontId="23" fillId="0" borderId="29" xfId="0" applyNumberFormat="1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19" fillId="0" borderId="110" xfId="0" applyFont="1" applyBorder="1" applyAlignment="1">
      <alignment horizontal="center" vertical="center"/>
    </xf>
    <xf numFmtId="0" fontId="27" fillId="0" borderId="33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distributed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right" vertical="center" wrapText="1"/>
    </xf>
    <xf numFmtId="176" fontId="19" fillId="0" borderId="6" xfId="0" applyNumberFormat="1" applyFont="1" applyBorder="1" applyAlignment="1">
      <alignment horizontal="right" vertical="center"/>
    </xf>
    <xf numFmtId="178" fontId="17" fillId="0" borderId="5" xfId="0" applyNumberFormat="1" applyFont="1" applyBorder="1" applyAlignment="1">
      <alignment horizontal="center" vertical="center" wrapText="1"/>
    </xf>
    <xf numFmtId="179" fontId="17" fillId="0" borderId="0" xfId="0" applyNumberFormat="1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23" fillId="0" borderId="6" xfId="0" applyFont="1" applyBorder="1" applyAlignment="1">
      <alignment vertical="center"/>
    </xf>
    <xf numFmtId="179" fontId="23" fillId="0" borderId="6" xfId="0" applyNumberFormat="1" applyFont="1" applyBorder="1" applyAlignment="1">
      <alignment horizontal="right" vertical="center"/>
    </xf>
    <xf numFmtId="178" fontId="24" fillId="0" borderId="6" xfId="0" applyNumberFormat="1" applyFont="1" applyBorder="1" applyAlignment="1">
      <alignment horizontal="center" vertical="center" wrapText="1"/>
    </xf>
    <xf numFmtId="176" fontId="24" fillId="0" borderId="9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left" vertical="center"/>
    </xf>
    <xf numFmtId="179" fontId="23" fillId="0" borderId="6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distributed" vertical="center" wrapText="1"/>
    </xf>
    <xf numFmtId="176" fontId="24" fillId="0" borderId="14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distributed" vertical="center" wrapText="1"/>
    </xf>
    <xf numFmtId="0" fontId="23" fillId="0" borderId="5" xfId="0" applyFont="1" applyBorder="1" applyAlignment="1">
      <alignment vertical="center" shrinkToFit="1"/>
    </xf>
    <xf numFmtId="0" fontId="23" fillId="0" borderId="5" xfId="0" applyFont="1" applyBorder="1" applyAlignment="1">
      <alignment horizontal="distributed" vertical="center" wrapText="1"/>
    </xf>
    <xf numFmtId="179" fontId="23" fillId="0" borderId="5" xfId="0" applyNumberFormat="1" applyFont="1" applyBorder="1" applyAlignment="1">
      <alignment vertical="center"/>
    </xf>
    <xf numFmtId="182" fontId="24" fillId="0" borderId="0" xfId="0" applyNumberFormat="1" applyFont="1" applyAlignment="1">
      <alignment vertical="center"/>
    </xf>
    <xf numFmtId="41" fontId="24" fillId="0" borderId="0" xfId="0" applyNumberFormat="1" applyFont="1" applyAlignment="1">
      <alignment vertical="center"/>
    </xf>
    <xf numFmtId="179" fontId="23" fillId="0" borderId="3" xfId="0" applyNumberFormat="1" applyFont="1" applyBorder="1" applyAlignment="1">
      <alignment horizontal="right" vertical="center"/>
    </xf>
    <xf numFmtId="176" fontId="23" fillId="0" borderId="3" xfId="0" applyNumberFormat="1" applyFont="1" applyBorder="1" applyAlignment="1">
      <alignment horizontal="right" vertical="center"/>
    </xf>
    <xf numFmtId="41" fontId="24" fillId="20" borderId="0" xfId="18" applyFont="1" applyFill="1">
      <alignment vertical="center"/>
    </xf>
    <xf numFmtId="182" fontId="24" fillId="20" borderId="0" xfId="0" applyNumberFormat="1" applyFont="1" applyFill="1" applyAlignment="1">
      <alignment vertical="center"/>
    </xf>
    <xf numFmtId="176" fontId="24" fillId="0" borderId="8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/>
    </xf>
    <xf numFmtId="0" fontId="24" fillId="0" borderId="9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 wrapText="1"/>
    </xf>
    <xf numFmtId="0" fontId="23" fillId="0" borderId="83" xfId="0" applyFont="1" applyBorder="1" applyAlignment="1">
      <alignment horizontal="distributed" vertical="center" wrapText="1"/>
    </xf>
    <xf numFmtId="179" fontId="23" fillId="0" borderId="83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horizontal="right" vertical="center"/>
    </xf>
    <xf numFmtId="178" fontId="24" fillId="0" borderId="83" xfId="0" applyNumberFormat="1" applyFont="1" applyBorder="1" applyAlignment="1">
      <alignment horizontal="center" vertical="center" wrapText="1"/>
    </xf>
    <xf numFmtId="176" fontId="23" fillId="0" borderId="5" xfId="0" applyNumberFormat="1" applyFont="1" applyBorder="1" applyAlignment="1">
      <alignment horizontal="right" vertical="center"/>
    </xf>
    <xf numFmtId="179" fontId="23" fillId="0" borderId="3" xfId="0" applyNumberFormat="1" applyFont="1" applyBorder="1" applyAlignment="1">
      <alignment vertical="center"/>
    </xf>
    <xf numFmtId="0" fontId="23" fillId="0" borderId="93" xfId="0" applyFont="1" applyBorder="1" applyAlignment="1">
      <alignment horizontal="distributed" vertical="center"/>
    </xf>
    <xf numFmtId="179" fontId="23" fillId="0" borderId="4" xfId="0" applyNumberFormat="1" applyFont="1" applyBorder="1" applyAlignment="1">
      <alignment vertical="center"/>
    </xf>
    <xf numFmtId="0" fontId="23" fillId="0" borderId="15" xfId="0" applyFont="1" applyBorder="1" applyAlignment="1">
      <alignment horizontal="distributed" vertical="center"/>
    </xf>
    <xf numFmtId="178" fontId="24" fillId="0" borderId="94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distributed" vertical="center"/>
    </xf>
    <xf numFmtId="0" fontId="24" fillId="0" borderId="0" xfId="0" applyFont="1" applyBorder="1" applyAlignment="1">
      <alignment horizontal="distributed" vertical="center" wrapText="1"/>
    </xf>
    <xf numFmtId="179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center"/>
    </xf>
    <xf numFmtId="176" fontId="24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9" fontId="26" fillId="0" borderId="0" xfId="0" applyNumberFormat="1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26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3" fillId="0" borderId="13" xfId="0" applyFont="1" applyBorder="1" applyAlignment="1">
      <alignment horizontal="distributed" vertical="center" wrapText="1"/>
    </xf>
    <xf numFmtId="0" fontId="19" fillId="0" borderId="6" xfId="0" applyFont="1" applyBorder="1" applyAlignment="1">
      <alignment horizontal="distributed" vertical="center"/>
    </xf>
    <xf numFmtId="0" fontId="23" fillId="0" borderId="92" xfId="0" applyFont="1" applyBorder="1" applyAlignment="1">
      <alignment horizontal="distributed" vertical="center" wrapText="1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17" fillId="0" borderId="0" xfId="0" applyNumberFormat="1" applyFont="1" applyAlignment="1">
      <alignment vertical="center"/>
    </xf>
    <xf numFmtId="41" fontId="19" fillId="0" borderId="0" xfId="18" applyFont="1" applyBorder="1" applyAlignment="1">
      <alignment horizontal="right" vertical="center" shrinkToFit="1"/>
    </xf>
    <xf numFmtId="38" fontId="19" fillId="0" borderId="0" xfId="0" applyNumberFormat="1" applyFont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38" fontId="23" fillId="11" borderId="0" xfId="0" applyNumberFormat="1" applyFont="1" applyFill="1" applyBorder="1" applyAlignment="1">
      <alignment vertical="center" shrinkToFit="1"/>
    </xf>
    <xf numFmtId="41" fontId="21" fillId="11" borderId="0" xfId="0" applyNumberFormat="1" applyFont="1" applyFill="1" applyBorder="1" applyAlignment="1">
      <alignment vertical="center"/>
    </xf>
    <xf numFmtId="38" fontId="23" fillId="15" borderId="0" xfId="0" applyNumberFormat="1" applyFont="1" applyFill="1" applyBorder="1" applyAlignment="1">
      <alignment vertical="center" shrinkToFit="1"/>
    </xf>
    <xf numFmtId="41" fontId="21" fillId="15" borderId="0" xfId="0" applyNumberFormat="1" applyFont="1" applyFill="1" applyBorder="1" applyAlignment="1">
      <alignment vertical="center"/>
    </xf>
    <xf numFmtId="38" fontId="23" fillId="14" borderId="0" xfId="0" applyNumberFormat="1" applyFont="1" applyFill="1" applyBorder="1" applyAlignment="1">
      <alignment vertical="center" shrinkToFit="1"/>
    </xf>
    <xf numFmtId="41" fontId="21" fillId="14" borderId="0" xfId="0" applyNumberFormat="1" applyFont="1" applyFill="1" applyBorder="1" applyAlignment="1">
      <alignment vertical="center"/>
    </xf>
    <xf numFmtId="176" fontId="19" fillId="0" borderId="7" xfId="0" applyNumberFormat="1" applyFont="1" applyBorder="1" applyAlignment="1">
      <alignment horizontal="center" vertical="center"/>
    </xf>
    <xf numFmtId="176" fontId="19" fillId="0" borderId="7" xfId="0" applyNumberFormat="1" applyFont="1" applyBorder="1" applyAlignment="1">
      <alignment horizontal="center" vertical="center" shrinkToFit="1"/>
    </xf>
    <xf numFmtId="38" fontId="23" fillId="18" borderId="0" xfId="0" applyNumberFormat="1" applyFont="1" applyFill="1" applyBorder="1" applyAlignment="1">
      <alignment vertical="center" shrinkToFit="1"/>
    </xf>
    <xf numFmtId="41" fontId="21" fillId="18" borderId="0" xfId="0" applyNumberFormat="1" applyFont="1" applyFill="1" applyBorder="1" applyAlignment="1">
      <alignment vertical="center"/>
    </xf>
    <xf numFmtId="0" fontId="20" fillId="0" borderId="5" xfId="0" applyFont="1" applyBorder="1" applyAlignment="1">
      <alignment horizontal="center" vertical="center"/>
    </xf>
    <xf numFmtId="178" fontId="17" fillId="0" borderId="5" xfId="0" applyNumberFormat="1" applyFont="1" applyBorder="1" applyAlignment="1">
      <alignment horizontal="right" vertical="center" wrapText="1"/>
    </xf>
    <xf numFmtId="38" fontId="23" fillId="13" borderId="0" xfId="0" applyNumberFormat="1" applyFont="1" applyFill="1" applyBorder="1" applyAlignment="1">
      <alignment vertical="center" shrinkToFit="1"/>
    </xf>
    <xf numFmtId="41" fontId="21" fillId="13" borderId="0" xfId="0" applyNumberFormat="1" applyFont="1" applyFill="1" applyBorder="1" applyAlignment="1">
      <alignment vertical="center"/>
    </xf>
    <xf numFmtId="179" fontId="21" fillId="0" borderId="0" xfId="0" applyNumberFormat="1" applyFont="1" applyAlignment="1">
      <alignment horizontal="center" vertical="center"/>
    </xf>
    <xf numFmtId="0" fontId="20" fillId="0" borderId="13" xfId="0" applyFont="1" applyBorder="1" applyAlignment="1">
      <alignment horizontal="distributed" vertical="center"/>
    </xf>
    <xf numFmtId="0" fontId="20" fillId="0" borderId="8" xfId="0" applyFont="1" applyBorder="1" applyAlignment="1">
      <alignment horizontal="distributed" vertical="center"/>
    </xf>
    <xf numFmtId="178" fontId="24" fillId="0" borderId="6" xfId="0" applyNumberFormat="1" applyFont="1" applyBorder="1" applyAlignment="1">
      <alignment horizontal="right" vertical="center"/>
    </xf>
    <xf numFmtId="38" fontId="23" fillId="11" borderId="70" xfId="0" applyNumberFormat="1" applyFont="1" applyFill="1" applyBorder="1" applyAlignment="1">
      <alignment horizontal="center" vertical="center" shrinkToFit="1"/>
    </xf>
    <xf numFmtId="38" fontId="23" fillId="15" borderId="70" xfId="0" applyNumberFormat="1" applyFont="1" applyFill="1" applyBorder="1" applyAlignment="1">
      <alignment horizontal="center" vertical="center" shrinkToFit="1"/>
    </xf>
    <xf numFmtId="38" fontId="23" fillId="14" borderId="70" xfId="0" applyNumberFormat="1" applyFont="1" applyFill="1" applyBorder="1" applyAlignment="1">
      <alignment horizontal="center" vertical="center" shrinkToFit="1"/>
    </xf>
    <xf numFmtId="38" fontId="23" fillId="18" borderId="70" xfId="0" applyNumberFormat="1" applyFont="1" applyFill="1" applyBorder="1" applyAlignment="1">
      <alignment horizontal="center" vertical="center" shrinkToFit="1"/>
    </xf>
    <xf numFmtId="38" fontId="23" fillId="13" borderId="70" xfId="0" applyNumberFormat="1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distributed" vertical="center"/>
    </xf>
    <xf numFmtId="41" fontId="19" fillId="11" borderId="0" xfId="18" applyFont="1" applyFill="1" applyBorder="1" applyAlignment="1">
      <alignment horizontal="right" vertical="center" shrinkToFit="1"/>
    </xf>
    <xf numFmtId="41" fontId="19" fillId="10" borderId="0" xfId="18" applyFont="1" applyFill="1" applyBorder="1" applyAlignment="1">
      <alignment horizontal="right" vertical="center" shrinkToFit="1"/>
    </xf>
    <xf numFmtId="41" fontId="19" fillId="17" borderId="0" xfId="18" applyFont="1" applyFill="1" applyBorder="1" applyAlignment="1">
      <alignment horizontal="right" vertical="center" shrinkToFit="1"/>
    </xf>
    <xf numFmtId="41" fontId="19" fillId="18" borderId="0" xfId="18" applyFont="1" applyFill="1" applyBorder="1" applyAlignment="1">
      <alignment horizontal="right" vertical="center" shrinkToFit="1"/>
    </xf>
    <xf numFmtId="41" fontId="19" fillId="13" borderId="0" xfId="18" applyFont="1" applyFill="1" applyBorder="1" applyAlignment="1">
      <alignment horizontal="right" vertical="center" shrinkToFit="1"/>
    </xf>
    <xf numFmtId="41" fontId="27" fillId="0" borderId="0" xfId="0" applyNumberFormat="1" applyFont="1" applyBorder="1" applyAlignment="1">
      <alignment vertical="center"/>
    </xf>
    <xf numFmtId="0" fontId="20" fillId="0" borderId="92" xfId="0" applyFont="1" applyBorder="1" applyAlignment="1">
      <alignment horizontal="distributed" vertical="center"/>
    </xf>
    <xf numFmtId="41" fontId="23" fillId="0" borderId="0" xfId="18" applyFont="1" applyFill="1" applyBorder="1" applyAlignment="1">
      <alignment horizontal="right" vertical="center" shrinkToFit="1"/>
    </xf>
    <xf numFmtId="38" fontId="23" fillId="0" borderId="0" xfId="0" applyNumberFormat="1" applyFont="1" applyBorder="1" applyAlignment="1">
      <alignment vertical="center" shrinkToFit="1"/>
    </xf>
    <xf numFmtId="38" fontId="23" fillId="0" borderId="0" xfId="0" applyNumberFormat="1" applyFont="1" applyFill="1" applyBorder="1" applyAlignment="1">
      <alignment vertical="center" shrinkToFit="1"/>
    </xf>
    <xf numFmtId="0" fontId="27" fillId="0" borderId="0" xfId="0" applyFont="1" applyBorder="1" applyAlignment="1">
      <alignment vertical="center"/>
    </xf>
    <xf numFmtId="38" fontId="23" fillId="0" borderId="0" xfId="0" applyNumberFormat="1" applyFont="1" applyAlignment="1">
      <alignment vertical="center" shrinkToFit="1"/>
    </xf>
    <xf numFmtId="38" fontId="23" fillId="0" borderId="0" xfId="0" applyNumberFormat="1" applyFont="1" applyFill="1" applyAlignment="1">
      <alignment vertical="center" shrinkToFit="1"/>
    </xf>
    <xf numFmtId="38" fontId="27" fillId="0" borderId="0" xfId="0" applyNumberFormat="1" applyFont="1" applyBorder="1" applyAlignment="1">
      <alignment vertical="center"/>
    </xf>
    <xf numFmtId="41" fontId="27" fillId="0" borderId="0" xfId="0" applyNumberFormat="1" applyFont="1" applyAlignment="1">
      <alignment vertical="center"/>
    </xf>
    <xf numFmtId="0" fontId="20" fillId="0" borderId="6" xfId="0" applyFont="1" applyBorder="1" applyAlignment="1">
      <alignment horizontal="distributed" vertical="center" wrapText="1" shrinkToFit="1"/>
    </xf>
    <xf numFmtId="0" fontId="25" fillId="0" borderId="6" xfId="0" applyFont="1" applyBorder="1" applyAlignment="1">
      <alignment horizontal="distributed" vertical="center" shrinkToFit="1"/>
    </xf>
    <xf numFmtId="38" fontId="23" fillId="15" borderId="0" xfId="0" applyNumberFormat="1" applyFont="1" applyFill="1" applyAlignment="1">
      <alignment vertical="center" shrinkToFit="1"/>
    </xf>
    <xf numFmtId="0" fontId="20" fillId="0" borderId="6" xfId="0" applyFont="1" applyBorder="1" applyAlignment="1">
      <alignment horizontal="distributed" vertical="center" shrinkToFit="1"/>
    </xf>
    <xf numFmtId="0" fontId="20" fillId="0" borderId="3" xfId="0" applyFont="1" applyBorder="1" applyAlignment="1">
      <alignment horizontal="distributed" vertical="center" shrinkToFit="1"/>
    </xf>
    <xf numFmtId="0" fontId="24" fillId="0" borderId="3" xfId="0" applyFont="1" applyBorder="1" applyAlignment="1">
      <alignment horizontal="distributed" vertical="center" shrinkToFit="1"/>
    </xf>
    <xf numFmtId="41" fontId="23" fillId="0" borderId="0" xfId="18" applyFont="1" applyFill="1" applyAlignment="1">
      <alignment horizontal="right" vertical="center" shrinkToFit="1"/>
    </xf>
    <xf numFmtId="41" fontId="23" fillId="0" borderId="0" xfId="18" applyFont="1" applyFill="1" applyAlignment="1">
      <alignment vertical="center" shrinkToFit="1"/>
    </xf>
    <xf numFmtId="0" fontId="20" fillId="0" borderId="4" xfId="0" applyFont="1" applyBorder="1" applyAlignment="1">
      <alignment horizontal="distributed" vertical="center" shrinkToFit="1"/>
    </xf>
    <xf numFmtId="0" fontId="24" fillId="0" borderId="6" xfId="0" applyFont="1" applyBorder="1" applyAlignment="1">
      <alignment horizontal="distributed" vertical="center" shrinkToFit="1"/>
    </xf>
    <xf numFmtId="0" fontId="20" fillId="0" borderId="5" xfId="0" applyFont="1" applyBorder="1" applyAlignment="1">
      <alignment horizontal="distributed" vertical="center" shrinkToFit="1"/>
    </xf>
    <xf numFmtId="38" fontId="23" fillId="17" borderId="0" xfId="0" applyNumberFormat="1" applyFont="1" applyFill="1" applyBorder="1" applyAlignment="1">
      <alignment vertical="center" shrinkToFit="1"/>
    </xf>
    <xf numFmtId="0" fontId="20" fillId="0" borderId="92" xfId="0" applyFont="1" applyFill="1" applyBorder="1" applyAlignment="1">
      <alignment horizontal="distributed" vertical="center"/>
    </xf>
    <xf numFmtId="0" fontId="20" fillId="0" borderId="4" xfId="0" applyFont="1" applyFill="1" applyBorder="1" applyAlignment="1">
      <alignment horizontal="distributed" vertical="center"/>
    </xf>
    <xf numFmtId="179" fontId="23" fillId="0" borderId="6" xfId="0" applyNumberFormat="1" applyFont="1" applyFill="1" applyBorder="1" applyAlignment="1">
      <alignment vertical="center"/>
    </xf>
    <xf numFmtId="41" fontId="23" fillId="21" borderId="0" xfId="18" applyFont="1" applyFill="1" applyBorder="1" applyAlignment="1">
      <alignment horizontal="right" vertical="center" shrinkToFit="1"/>
    </xf>
    <xf numFmtId="0" fontId="20" fillId="0" borderId="20" xfId="0" applyFont="1" applyBorder="1" applyAlignment="1">
      <alignment horizontal="distributed" vertical="center"/>
    </xf>
    <xf numFmtId="0" fontId="24" fillId="0" borderId="13" xfId="0" applyFont="1" applyBorder="1" applyAlignment="1">
      <alignment horizontal="distributed" vertical="center"/>
    </xf>
    <xf numFmtId="176" fontId="24" fillId="0" borderId="6" xfId="0" applyNumberFormat="1" applyFont="1" applyBorder="1" applyAlignment="1">
      <alignment horizontal="right" vertical="center" shrinkToFit="1"/>
    </xf>
    <xf numFmtId="0" fontId="24" fillId="0" borderId="12" xfId="0" applyFont="1" applyBorder="1" applyAlignment="1">
      <alignment horizontal="distributed" vertical="center"/>
    </xf>
    <xf numFmtId="0" fontId="20" fillId="0" borderId="72" xfId="0" applyFont="1" applyBorder="1" applyAlignment="1">
      <alignment horizontal="distributed" vertical="center"/>
    </xf>
    <xf numFmtId="0" fontId="20" fillId="0" borderId="94" xfId="0" applyFont="1" applyBorder="1" applyAlignment="1">
      <alignment horizontal="distributed" vertical="center"/>
    </xf>
    <xf numFmtId="0" fontId="25" fillId="0" borderId="83" xfId="0" applyFont="1" applyBorder="1" applyAlignment="1">
      <alignment horizontal="distributed" vertical="center"/>
    </xf>
    <xf numFmtId="176" fontId="24" fillId="0" borderId="83" xfId="0" applyNumberFormat="1" applyFont="1" applyBorder="1" applyAlignment="1">
      <alignment horizontal="right" vertical="center" shrinkToFit="1"/>
    </xf>
    <xf numFmtId="0" fontId="20" fillId="0" borderId="15" xfId="0" applyFont="1" applyBorder="1" applyAlignment="1">
      <alignment horizontal="distributed" vertical="center"/>
    </xf>
    <xf numFmtId="0" fontId="25" fillId="0" borderId="5" xfId="0" applyFont="1" applyBorder="1" applyAlignment="1">
      <alignment horizontal="distributed" vertical="center"/>
    </xf>
    <xf numFmtId="176" fontId="23" fillId="0" borderId="5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right" vertical="center"/>
    </xf>
    <xf numFmtId="179" fontId="23" fillId="0" borderId="5" xfId="0" applyNumberFormat="1" applyFont="1" applyBorder="1" applyAlignment="1">
      <alignment horizontal="right" vertical="center"/>
    </xf>
    <xf numFmtId="0" fontId="24" fillId="0" borderId="92" xfId="0" applyFont="1" applyBorder="1" applyAlignment="1">
      <alignment horizontal="distributed" vertical="center"/>
    </xf>
    <xf numFmtId="41" fontId="23" fillId="11" borderId="0" xfId="18" applyFont="1" applyFill="1" applyBorder="1" applyAlignment="1">
      <alignment horizontal="right" vertical="center" shrinkToFit="1"/>
    </xf>
    <xf numFmtId="41" fontId="23" fillId="18" borderId="0" xfId="18" applyFont="1" applyFill="1" applyBorder="1" applyAlignment="1">
      <alignment horizontal="right" vertical="center" shrinkToFit="1"/>
    </xf>
    <xf numFmtId="0" fontId="23" fillId="0" borderId="0" xfId="0" applyFont="1" applyAlignment="1">
      <alignment vertical="center" shrinkToFit="1"/>
    </xf>
    <xf numFmtId="41" fontId="23" fillId="17" borderId="0" xfId="18" applyFont="1" applyFill="1" applyBorder="1" applyAlignment="1">
      <alignment horizontal="right" vertical="center" shrinkToFit="1"/>
    </xf>
    <xf numFmtId="0" fontId="26" fillId="0" borderId="6" xfId="0" applyFont="1" applyBorder="1" applyAlignment="1">
      <alignment horizontal="distributed" vertical="center"/>
    </xf>
    <xf numFmtId="0" fontId="20" fillId="0" borderId="83" xfId="0" applyFont="1" applyBorder="1" applyAlignment="1">
      <alignment horizontal="distributed" vertical="center" wrapText="1"/>
    </xf>
    <xf numFmtId="178" fontId="24" fillId="0" borderId="83" xfId="0" applyNumberFormat="1" applyFont="1" applyBorder="1" applyAlignment="1">
      <alignment horizontal="right" vertical="center"/>
    </xf>
    <xf numFmtId="0" fontId="24" fillId="0" borderId="94" xfId="0" applyFont="1" applyBorder="1" applyAlignment="1">
      <alignment horizontal="distributed" vertical="center"/>
    </xf>
    <xf numFmtId="179" fontId="20" fillId="0" borderId="94" xfId="0" applyNumberFormat="1" applyFont="1" applyBorder="1" applyAlignment="1">
      <alignment vertical="center"/>
    </xf>
    <xf numFmtId="176" fontId="24" fillId="0" borderId="94" xfId="0" applyNumberFormat="1" applyFont="1" applyBorder="1" applyAlignment="1">
      <alignment vertical="center"/>
    </xf>
    <xf numFmtId="178" fontId="24" fillId="0" borderId="94" xfId="0" applyNumberFormat="1" applyFont="1" applyBorder="1" applyAlignment="1">
      <alignment horizontal="right" vertical="center"/>
    </xf>
    <xf numFmtId="0" fontId="20" fillId="0" borderId="94" xfId="0" applyFont="1" applyBorder="1" applyAlignment="1">
      <alignment horizontal="distributed" vertical="center" wrapText="1"/>
    </xf>
    <xf numFmtId="0" fontId="26" fillId="0" borderId="94" xfId="0" applyFont="1" applyBorder="1" applyAlignment="1">
      <alignment horizontal="distributed" vertical="center" wrapText="1"/>
    </xf>
    <xf numFmtId="0" fontId="24" fillId="0" borderId="22" xfId="0" applyFont="1" applyBorder="1" applyAlignment="1">
      <alignment vertical="center"/>
    </xf>
    <xf numFmtId="0" fontId="24" fillId="0" borderId="140" xfId="0" applyFont="1" applyBorder="1" applyAlignment="1">
      <alignment vertical="center"/>
    </xf>
    <xf numFmtId="0" fontId="20" fillId="0" borderId="5" xfId="0" applyFont="1" applyBorder="1" applyAlignment="1">
      <alignment horizontal="distributed" vertical="center" wrapText="1"/>
    </xf>
    <xf numFmtId="0" fontId="24" fillId="0" borderId="5" xfId="0" applyFont="1" applyBorder="1" applyAlignment="1">
      <alignment horizontal="distributed" vertical="center" wrapText="1"/>
    </xf>
    <xf numFmtId="179" fontId="20" fillId="0" borderId="5" xfId="0" applyNumberFormat="1" applyFont="1" applyBorder="1" applyAlignment="1">
      <alignment vertical="center"/>
    </xf>
    <xf numFmtId="176" fontId="24" fillId="0" borderId="5" xfId="0" applyNumberFormat="1" applyFont="1" applyBorder="1" applyAlignment="1">
      <alignment vertical="center"/>
    </xf>
    <xf numFmtId="0" fontId="26" fillId="0" borderId="6" xfId="0" applyFont="1" applyBorder="1" applyAlignment="1">
      <alignment horizontal="distributed" vertical="center" wrapText="1"/>
    </xf>
    <xf numFmtId="179" fontId="20" fillId="0" borderId="6" xfId="0" applyNumberFormat="1" applyFont="1" applyBorder="1" applyAlignment="1">
      <alignment vertical="center"/>
    </xf>
    <xf numFmtId="0" fontId="24" fillId="0" borderId="6" xfId="0" applyFont="1" applyBorder="1" applyAlignment="1">
      <alignment horizontal="distributed" vertical="center" wrapText="1"/>
    </xf>
    <xf numFmtId="179" fontId="20" fillId="0" borderId="3" xfId="0" applyNumberFormat="1" applyFont="1" applyBorder="1" applyAlignment="1">
      <alignment vertical="center"/>
    </xf>
    <xf numFmtId="0" fontId="24" fillId="0" borderId="83" xfId="0" applyFont="1" applyBorder="1" applyAlignment="1">
      <alignment horizontal="distributed" vertical="center" wrapText="1"/>
    </xf>
    <xf numFmtId="179" fontId="20" fillId="0" borderId="83" xfId="0" applyNumberFormat="1" applyFont="1" applyBorder="1" applyAlignment="1">
      <alignment vertical="center"/>
    </xf>
    <xf numFmtId="176" fontId="24" fillId="0" borderId="83" xfId="0" applyNumberFormat="1" applyFont="1" applyBorder="1" applyAlignment="1">
      <alignment vertical="center"/>
    </xf>
    <xf numFmtId="0" fontId="23" fillId="0" borderId="0" xfId="0" applyFont="1" applyFill="1" applyAlignment="1">
      <alignment vertical="center" shrinkToFit="1"/>
    </xf>
    <xf numFmtId="41" fontId="23" fillId="0" borderId="0" xfId="18" applyFont="1" applyAlignment="1">
      <alignment horizontal="right" vertical="center" shrinkToFit="1"/>
    </xf>
    <xf numFmtId="176" fontId="19" fillId="0" borderId="0" xfId="0" applyNumberFormat="1" applyFont="1" applyAlignment="1">
      <alignment vertical="center"/>
    </xf>
    <xf numFmtId="38" fontId="16" fillId="0" borderId="0" xfId="0" applyNumberFormat="1" applyFont="1" applyAlignment="1">
      <alignment vertical="center" shrinkToFit="1"/>
    </xf>
    <xf numFmtId="38" fontId="16" fillId="0" borderId="0" xfId="0" applyNumberFormat="1" applyFont="1" applyBorder="1" applyAlignment="1">
      <alignment vertical="center" shrinkToFit="1"/>
    </xf>
    <xf numFmtId="0" fontId="21" fillId="0" borderId="0" xfId="0" applyFont="1" applyBorder="1" applyAlignment="1">
      <alignment vertical="center"/>
    </xf>
    <xf numFmtId="10" fontId="21" fillId="0" borderId="0" xfId="0" applyNumberFormat="1" applyFont="1" applyBorder="1" applyAlignment="1">
      <alignment vertical="center" shrinkToFit="1"/>
    </xf>
    <xf numFmtId="10" fontId="21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38" fontId="21" fillId="0" borderId="0" xfId="0" applyNumberFormat="1" applyFont="1" applyBorder="1" applyAlignment="1">
      <alignment horizontal="center" vertical="center" shrinkToFit="1"/>
    </xf>
    <xf numFmtId="178" fontId="19" fillId="0" borderId="6" xfId="0" applyNumberFormat="1" applyFont="1" applyBorder="1" applyAlignment="1">
      <alignment horizontal="right" vertical="center"/>
    </xf>
    <xf numFmtId="38" fontId="21" fillId="0" borderId="0" xfId="0" applyNumberFormat="1" applyFont="1" applyBorder="1" applyAlignment="1">
      <alignment horizontal="center" vertical="center"/>
    </xf>
    <xf numFmtId="0" fontId="20" fillId="12" borderId="13" xfId="0" applyFont="1" applyFill="1" applyBorder="1" applyAlignment="1">
      <alignment horizontal="distributed" vertical="center"/>
    </xf>
    <xf numFmtId="0" fontId="20" fillId="12" borderId="6" xfId="0" applyFont="1" applyFill="1" applyBorder="1" applyAlignment="1">
      <alignment horizontal="distributed" vertical="center"/>
    </xf>
    <xf numFmtId="179" fontId="23" fillId="12" borderId="6" xfId="0" applyNumberFormat="1" applyFont="1" applyFill="1" applyBorder="1" applyAlignment="1">
      <alignment horizontal="right" vertical="center"/>
    </xf>
    <xf numFmtId="178" fontId="23" fillId="12" borderId="6" xfId="0" applyNumberFormat="1" applyFont="1" applyFill="1" applyBorder="1" applyAlignment="1">
      <alignment horizontal="right" vertical="center"/>
    </xf>
    <xf numFmtId="38" fontId="27" fillId="0" borderId="0" xfId="0" applyNumberFormat="1" applyFont="1" applyBorder="1" applyAlignment="1">
      <alignment vertical="center" shrinkToFit="1"/>
    </xf>
    <xf numFmtId="179" fontId="27" fillId="11" borderId="0" xfId="0" applyNumberFormat="1" applyFont="1" applyFill="1" applyBorder="1" applyAlignment="1">
      <alignment vertical="center"/>
    </xf>
    <xf numFmtId="178" fontId="23" fillId="0" borderId="6" xfId="0" applyNumberFormat="1" applyFont="1" applyBorder="1" applyAlignment="1">
      <alignment horizontal="right" vertical="center"/>
    </xf>
    <xf numFmtId="0" fontId="20" fillId="0" borderId="4" xfId="0" applyFont="1" applyBorder="1" applyAlignment="1">
      <alignment horizontal="distributed" vertical="center" wrapText="1"/>
    </xf>
    <xf numFmtId="179" fontId="23" fillId="0" borderId="8" xfId="0" applyNumberFormat="1" applyFont="1" applyBorder="1" applyAlignment="1">
      <alignment vertical="center"/>
    </xf>
    <xf numFmtId="176" fontId="23" fillId="0" borderId="30" xfId="0" applyNumberFormat="1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3" xfId="0" applyFont="1" applyBorder="1" applyAlignment="1">
      <alignment horizontal="distributed" vertical="center" wrapText="1"/>
    </xf>
    <xf numFmtId="41" fontId="24" fillId="19" borderId="0" xfId="18" applyFont="1" applyFill="1">
      <alignment vertical="center"/>
    </xf>
    <xf numFmtId="38" fontId="27" fillId="19" borderId="0" xfId="0" applyNumberFormat="1" applyFont="1" applyFill="1" applyBorder="1" applyAlignment="1">
      <alignment vertical="center" shrinkToFit="1"/>
    </xf>
    <xf numFmtId="0" fontId="20" fillId="12" borderId="13" xfId="0" applyFont="1" applyFill="1" applyBorder="1" applyAlignment="1">
      <alignment horizontal="distributed" vertical="center" wrapText="1"/>
    </xf>
    <xf numFmtId="0" fontId="20" fillId="12" borderId="6" xfId="0" applyFont="1" applyFill="1" applyBorder="1" applyAlignment="1">
      <alignment horizontal="distributed" vertical="center" wrapText="1"/>
    </xf>
    <xf numFmtId="179" fontId="23" fillId="12" borderId="6" xfId="0" applyNumberFormat="1" applyFont="1" applyFill="1" applyBorder="1" applyAlignment="1">
      <alignment vertical="center"/>
    </xf>
    <xf numFmtId="188" fontId="23" fillId="0" borderId="6" xfId="0" applyNumberFormat="1" applyFont="1" applyBorder="1" applyAlignment="1">
      <alignment horizontal="right" vertical="center"/>
    </xf>
    <xf numFmtId="0" fontId="20" fillId="12" borderId="20" xfId="0" applyFont="1" applyFill="1" applyBorder="1" applyAlignment="1">
      <alignment horizontal="distributed" vertical="center"/>
    </xf>
    <xf numFmtId="0" fontId="20" fillId="12" borderId="5" xfId="0" applyFont="1" applyFill="1" applyBorder="1" applyAlignment="1">
      <alignment horizontal="distributed" vertical="center" wrapText="1"/>
    </xf>
    <xf numFmtId="179" fontId="23" fillId="12" borderId="5" xfId="0" applyNumberFormat="1" applyFont="1" applyFill="1" applyBorder="1" applyAlignment="1">
      <alignment vertical="center"/>
    </xf>
    <xf numFmtId="176" fontId="23" fillId="12" borderId="5" xfId="0" applyNumberFormat="1" applyFont="1" applyFill="1" applyBorder="1" applyAlignment="1">
      <alignment vertical="center"/>
    </xf>
    <xf numFmtId="178" fontId="23" fillId="0" borderId="83" xfId="0" applyNumberFormat="1" applyFont="1" applyBorder="1" applyAlignment="1">
      <alignment horizontal="right" vertical="center"/>
    </xf>
    <xf numFmtId="178" fontId="23" fillId="0" borderId="5" xfId="0" applyNumberFormat="1" applyFont="1" applyBorder="1" applyAlignment="1">
      <alignment horizontal="right" vertical="center"/>
    </xf>
    <xf numFmtId="38" fontId="24" fillId="0" borderId="0" xfId="0" applyNumberFormat="1" applyFont="1" applyBorder="1" applyAlignment="1">
      <alignment vertical="center" shrinkToFit="1"/>
    </xf>
    <xf numFmtId="0" fontId="20" fillId="0" borderId="6" xfId="0" applyFont="1" applyBorder="1" applyAlignment="1">
      <alignment horizontal="fill" vertical="center"/>
    </xf>
    <xf numFmtId="0" fontId="20" fillId="0" borderId="3" xfId="0" applyFont="1" applyBorder="1" applyAlignment="1">
      <alignment vertical="center"/>
    </xf>
    <xf numFmtId="0" fontId="20" fillId="0" borderId="6" xfId="0" applyFont="1" applyBorder="1" applyAlignment="1">
      <alignment horizontal="fill" vertical="center" wrapText="1"/>
    </xf>
    <xf numFmtId="176" fontId="20" fillId="0" borderId="0" xfId="0" applyNumberFormat="1" applyFont="1" applyBorder="1" applyAlignment="1">
      <alignment vertical="center"/>
    </xf>
    <xf numFmtId="38" fontId="20" fillId="0" borderId="0" xfId="0" applyNumberFormat="1" applyFont="1" applyBorder="1" applyAlignment="1">
      <alignment vertical="center" shrinkToFit="1"/>
    </xf>
    <xf numFmtId="0" fontId="20" fillId="12" borderId="20" xfId="0" applyFont="1" applyFill="1" applyBorder="1" applyAlignment="1">
      <alignment horizontal="distributed" vertical="center" wrapText="1"/>
    </xf>
    <xf numFmtId="0" fontId="20" fillId="0" borderId="30" xfId="0" applyFont="1" applyBorder="1" applyAlignment="1">
      <alignment horizontal="distributed" vertical="center" wrapText="1"/>
    </xf>
    <xf numFmtId="176" fontId="23" fillId="0" borderId="0" xfId="0" applyNumberFormat="1" applyFont="1" applyAlignment="1">
      <alignment vertical="center"/>
    </xf>
    <xf numFmtId="38" fontId="27" fillId="0" borderId="0" xfId="0" applyNumberFormat="1" applyFont="1" applyAlignment="1">
      <alignment vertical="center" shrinkToFi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shrinkToFit="1"/>
    </xf>
    <xf numFmtId="176" fontId="34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vertical="center" shrinkToFit="1"/>
    </xf>
    <xf numFmtId="0" fontId="35" fillId="0" borderId="0" xfId="0" applyNumberFormat="1" applyFont="1" applyBorder="1" applyAlignment="1">
      <alignment horizontal="center" vertical="center"/>
    </xf>
    <xf numFmtId="41" fontId="7" fillId="0" borderId="0" xfId="1" applyFont="1" applyBorder="1" applyAlignment="1">
      <alignment vertical="center"/>
    </xf>
    <xf numFmtId="41" fontId="34" fillId="0" borderId="0" xfId="1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37" fillId="0" borderId="22" xfId="1" applyFont="1" applyBorder="1" applyAlignment="1">
      <alignment horizontal="center" vertical="center"/>
    </xf>
    <xf numFmtId="41" fontId="37" fillId="0" borderId="22" xfId="1" applyFont="1" applyBorder="1" applyAlignment="1">
      <alignment horizontal="center" vertical="center" shrinkToFit="1"/>
    </xf>
    <xf numFmtId="176" fontId="37" fillId="0" borderId="22" xfId="1" applyNumberFormat="1" applyFont="1" applyBorder="1" applyAlignment="1">
      <alignment horizontal="center" vertical="center"/>
    </xf>
    <xf numFmtId="176" fontId="37" fillId="0" borderId="22" xfId="1" applyNumberFormat="1" applyFont="1" applyBorder="1" applyAlignment="1">
      <alignment horizontal="right" vertical="center"/>
    </xf>
    <xf numFmtId="176" fontId="37" fillId="0" borderId="22" xfId="1" applyNumberFormat="1" applyFont="1" applyBorder="1" applyAlignment="1">
      <alignment horizontal="center" vertical="center" shrinkToFit="1"/>
    </xf>
    <xf numFmtId="0" fontId="38" fillId="0" borderId="22" xfId="1" applyNumberFormat="1" applyFont="1" applyBorder="1" applyAlignment="1">
      <alignment horizontal="center" vertical="center"/>
    </xf>
    <xf numFmtId="41" fontId="37" fillId="0" borderId="22" xfId="1" applyFont="1" applyBorder="1" applyAlignment="1">
      <alignment vertical="center"/>
    </xf>
    <xf numFmtId="0" fontId="34" fillId="0" borderId="22" xfId="0" applyFont="1" applyBorder="1" applyAlignment="1">
      <alignment vertical="center"/>
    </xf>
    <xf numFmtId="0" fontId="35" fillId="0" borderId="1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shrinkToFi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shrinkToFit="1"/>
    </xf>
    <xf numFmtId="3" fontId="7" fillId="0" borderId="10" xfId="1" applyNumberFormat="1" applyFont="1" applyBorder="1" applyAlignment="1">
      <alignment vertical="center" shrinkToFit="1"/>
    </xf>
    <xf numFmtId="0" fontId="7" fillId="6" borderId="104" xfId="0" applyFont="1" applyFill="1" applyBorder="1" applyAlignment="1">
      <alignment horizontal="center" vertical="center" shrinkToFit="1"/>
    </xf>
    <xf numFmtId="0" fontId="7" fillId="6" borderId="4" xfId="0" applyFont="1" applyFill="1" applyBorder="1" applyAlignment="1">
      <alignment horizontal="center" vertical="center" shrinkToFit="1"/>
    </xf>
    <xf numFmtId="176" fontId="7" fillId="6" borderId="4" xfId="1" applyNumberFormat="1" applyFont="1" applyFill="1" applyBorder="1" applyAlignment="1">
      <alignment vertical="center" shrinkToFit="1"/>
    </xf>
    <xf numFmtId="176" fontId="7" fillId="6" borderId="137" xfId="1" applyNumberFormat="1" applyFont="1" applyFill="1" applyBorder="1" applyAlignment="1">
      <alignment horizontal="right" vertical="center" shrinkToFit="1"/>
    </xf>
    <xf numFmtId="176" fontId="7" fillId="6" borderId="77" xfId="1" applyNumberFormat="1" applyFont="1" applyFill="1" applyBorder="1" applyAlignment="1">
      <alignment horizontal="right" vertical="center" shrinkToFit="1"/>
    </xf>
    <xf numFmtId="41" fontId="7" fillId="0" borderId="47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vertical="center" shrinkToFit="1"/>
    </xf>
    <xf numFmtId="41" fontId="7" fillId="5" borderId="48" xfId="1" applyFont="1" applyFill="1" applyBorder="1" applyAlignment="1">
      <alignment horizontal="right" vertical="center" shrinkToFit="1"/>
    </xf>
    <xf numFmtId="176" fontId="7" fillId="5" borderId="48" xfId="1" applyNumberFormat="1" applyFont="1" applyFill="1" applyBorder="1" applyAlignment="1">
      <alignment horizontal="right" vertical="center" shrinkToFit="1"/>
    </xf>
    <xf numFmtId="41" fontId="7" fillId="0" borderId="13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vertical="center" shrinkToFit="1"/>
    </xf>
    <xf numFmtId="41" fontId="7" fillId="0" borderId="6" xfId="1" applyFont="1" applyBorder="1" applyAlignment="1">
      <alignment horizontal="right" vertical="center" shrinkToFit="1"/>
    </xf>
    <xf numFmtId="41" fontId="7" fillId="0" borderId="6" xfId="1" applyFont="1" applyFill="1" applyBorder="1" applyAlignment="1">
      <alignment horizontal="right" vertical="center" shrinkToFit="1"/>
    </xf>
    <xf numFmtId="176" fontId="7" fillId="0" borderId="8" xfId="1" applyNumberFormat="1" applyFont="1" applyFill="1" applyBorder="1" applyAlignment="1">
      <alignment horizontal="right" vertical="center" shrinkToFit="1"/>
    </xf>
    <xf numFmtId="0" fontId="7" fillId="0" borderId="9" xfId="0" applyFont="1" applyBorder="1" applyAlignment="1">
      <alignment vertical="center" shrinkToFit="1"/>
    </xf>
    <xf numFmtId="182" fontId="7" fillId="0" borderId="9" xfId="0" applyNumberFormat="1" applyFont="1" applyBorder="1" applyAlignment="1">
      <alignment vertical="center" shrinkToFit="1"/>
    </xf>
    <xf numFmtId="0" fontId="7" fillId="0" borderId="9" xfId="0" applyFont="1" applyFill="1" applyBorder="1" applyAlignment="1">
      <alignment vertical="center" shrinkToFit="1"/>
    </xf>
    <xf numFmtId="0" fontId="7" fillId="0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horizontal="center" vertical="center" shrinkToFit="1"/>
    </xf>
    <xf numFmtId="41" fontId="7" fillId="5" borderId="6" xfId="1" applyFont="1" applyFill="1" applyBorder="1" applyAlignment="1">
      <alignment horizontal="right" vertical="center" shrinkToFit="1"/>
    </xf>
    <xf numFmtId="176" fontId="7" fillId="5" borderId="6" xfId="1" applyNumberFormat="1" applyFont="1" applyFill="1" applyBorder="1" applyAlignment="1">
      <alignment horizontal="right" vertical="center" shrinkToFit="1"/>
    </xf>
    <xf numFmtId="41" fontId="33" fillId="0" borderId="6" xfId="1" applyFont="1" applyFill="1" applyBorder="1" applyAlignment="1">
      <alignment horizontal="center" vertical="center" shrinkToFit="1"/>
    </xf>
    <xf numFmtId="41" fontId="39" fillId="5" borderId="6" xfId="1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vertical="center"/>
    </xf>
    <xf numFmtId="41" fontId="39" fillId="0" borderId="6" xfId="1" applyFont="1" applyFill="1" applyBorder="1" applyAlignment="1">
      <alignment horizontal="center" vertical="center" shrinkToFit="1"/>
    </xf>
    <xf numFmtId="41" fontId="7" fillId="6" borderId="13" xfId="1" applyFont="1" applyFill="1" applyBorder="1" applyAlignment="1">
      <alignment horizontal="center" vertical="center" shrinkToFit="1"/>
    </xf>
    <xf numFmtId="41" fontId="39" fillId="6" borderId="6" xfId="1" applyFont="1" applyFill="1" applyBorder="1" applyAlignment="1">
      <alignment horizontal="center" vertical="center" shrinkToFit="1"/>
    </xf>
    <xf numFmtId="41" fontId="7" fillId="6" borderId="6" xfId="1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right" vertical="center" shrinkToFit="1"/>
    </xf>
    <xf numFmtId="0" fontId="7" fillId="6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vertical="center" shrinkToFit="1"/>
    </xf>
    <xf numFmtId="0" fontId="7" fillId="5" borderId="9" xfId="0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vertical="center" shrinkToFit="1"/>
    </xf>
    <xf numFmtId="41" fontId="40" fillId="0" borderId="0" xfId="1" applyFont="1" applyBorder="1" applyAlignment="1">
      <alignment vertical="center"/>
    </xf>
    <xf numFmtId="41" fontId="7" fillId="5" borderId="9" xfId="1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176" fontId="7" fillId="5" borderId="6" xfId="0" applyNumberFormat="1" applyFont="1" applyFill="1" applyBorder="1" applyAlignment="1">
      <alignment vertical="center" shrinkToFit="1"/>
    </xf>
    <xf numFmtId="41" fontId="7" fillId="6" borderId="14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176" fontId="7" fillId="5" borderId="47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176" fontId="7" fillId="5" borderId="13" xfId="1" applyNumberFormat="1" applyFont="1" applyFill="1" applyBorder="1" applyAlignment="1">
      <alignment horizontal="right" vertical="center" shrinkToFit="1"/>
    </xf>
    <xf numFmtId="176" fontId="7" fillId="6" borderId="13" xfId="1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176" fontId="7" fillId="6" borderId="13" xfId="0" applyNumberFormat="1" applyFont="1" applyFill="1" applyBorder="1" applyAlignment="1">
      <alignment vertical="center" shrinkToFit="1"/>
    </xf>
    <xf numFmtId="176" fontId="7" fillId="6" borderId="81" xfId="0" applyNumberFormat="1" applyFont="1" applyFill="1" applyBorder="1" applyAlignment="1">
      <alignment vertical="center" shrinkToFit="1"/>
    </xf>
    <xf numFmtId="176" fontId="7" fillId="5" borderId="81" xfId="0" applyNumberFormat="1" applyFont="1" applyFill="1" applyBorder="1" applyAlignment="1">
      <alignment vertical="center" shrinkToFit="1"/>
    </xf>
    <xf numFmtId="188" fontId="7" fillId="0" borderId="33" xfId="1" applyNumberFormat="1" applyFont="1" applyBorder="1" applyAlignment="1">
      <alignment horizontal="right" vertical="center" shrinkToFit="1"/>
    </xf>
    <xf numFmtId="41" fontId="7" fillId="0" borderId="83" xfId="1" applyFont="1" applyFill="1" applyBorder="1" applyAlignment="1">
      <alignment horizontal="right" vertical="center" shrinkToFit="1"/>
    </xf>
    <xf numFmtId="176" fontId="7" fillId="6" borderId="81" xfId="1" applyNumberFormat="1" applyFont="1" applyFill="1" applyBorder="1" applyAlignment="1">
      <alignment horizontal="right" vertical="center" shrinkToFit="1"/>
    </xf>
    <xf numFmtId="41" fontId="36" fillId="0" borderId="0" xfId="18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41" fontId="27" fillId="0" borderId="0" xfId="1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vertical="center"/>
    </xf>
    <xf numFmtId="41" fontId="45" fillId="0" borderId="22" xfId="1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center" vertical="center" shrinkToFit="1"/>
    </xf>
    <xf numFmtId="176" fontId="49" fillId="0" borderId="64" xfId="0" applyNumberFormat="1" applyFont="1" applyBorder="1" applyAlignment="1">
      <alignment horizontal="center" vertical="center" shrinkToFit="1"/>
    </xf>
    <xf numFmtId="185" fontId="49" fillId="0" borderId="10" xfId="0" applyNumberFormat="1" applyFont="1" applyBorder="1" applyAlignment="1">
      <alignment horizontal="center" vertical="center" shrinkToFit="1"/>
    </xf>
    <xf numFmtId="185" fontId="49" fillId="0" borderId="37" xfId="0" applyNumberFormat="1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right" vertical="center" shrinkToFit="1"/>
    </xf>
    <xf numFmtId="185" fontId="49" fillId="0" borderId="45" xfId="0" applyNumberFormat="1" applyFont="1" applyBorder="1" applyAlignment="1">
      <alignment horizontal="center" vertical="center" shrinkToFit="1"/>
    </xf>
    <xf numFmtId="176" fontId="46" fillId="0" borderId="0" xfId="0" applyNumberFormat="1" applyFont="1" applyBorder="1" applyAlignment="1">
      <alignment vertical="center"/>
    </xf>
    <xf numFmtId="176" fontId="47" fillId="0" borderId="0" xfId="0" applyNumberFormat="1" applyFont="1" applyBorder="1" applyAlignment="1">
      <alignment vertical="center"/>
    </xf>
    <xf numFmtId="0" fontId="7" fillId="6" borderId="18" xfId="0" applyFont="1" applyFill="1" applyBorder="1" applyAlignment="1">
      <alignment horizontal="center" vertical="center" shrinkToFit="1"/>
    </xf>
    <xf numFmtId="176" fontId="7" fillId="6" borderId="11" xfId="0" applyNumberFormat="1" applyFont="1" applyFill="1" applyBorder="1" applyAlignment="1">
      <alignment horizontal="right" vertical="center" shrinkToFit="1"/>
    </xf>
    <xf numFmtId="176" fontId="7" fillId="6" borderId="16" xfId="0" applyNumberFormat="1" applyFont="1" applyFill="1" applyBorder="1" applyAlignment="1">
      <alignment horizontal="right" vertical="center" shrinkToFit="1"/>
    </xf>
    <xf numFmtId="0" fontId="7" fillId="6" borderId="102" xfId="0" applyFont="1" applyFill="1" applyBorder="1" applyAlignment="1">
      <alignment horizontal="center" vertical="center" shrinkToFit="1"/>
    </xf>
    <xf numFmtId="0" fontId="7" fillId="6" borderId="5" xfId="0" applyFont="1" applyFill="1" applyBorder="1" applyAlignment="1">
      <alignment horizontal="center" vertical="center" shrinkToFit="1"/>
    </xf>
    <xf numFmtId="176" fontId="7" fillId="6" borderId="0" xfId="1" applyNumberFormat="1" applyFont="1" applyFill="1" applyBorder="1" applyAlignment="1">
      <alignment vertical="center" shrinkToFit="1"/>
    </xf>
    <xf numFmtId="176" fontId="7" fillId="6" borderId="11" xfId="1" applyNumberFormat="1" applyFont="1" applyFill="1" applyBorder="1" applyAlignment="1">
      <alignment horizontal="right" vertical="center" shrinkToFit="1"/>
    </xf>
    <xf numFmtId="3" fontId="4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7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horizontal="right" vertical="center" shrinkToFit="1"/>
    </xf>
    <xf numFmtId="186" fontId="47" fillId="7" borderId="6" xfId="0" applyNumberFormat="1" applyFont="1" applyFill="1" applyBorder="1" applyAlignment="1">
      <alignment horizontal="center" vertical="center" shrinkToFit="1"/>
    </xf>
    <xf numFmtId="41" fontId="7" fillId="0" borderId="19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vertical="center" shrinkToFit="1"/>
    </xf>
    <xf numFmtId="41" fontId="7" fillId="7" borderId="6" xfId="1" applyFont="1" applyFill="1" applyBorder="1" applyAlignment="1">
      <alignment horizontal="right" vertical="center" shrinkToFit="1"/>
    </xf>
    <xf numFmtId="3" fontId="46" fillId="0" borderId="0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right" vertical="center" shrinkToFit="1"/>
    </xf>
    <xf numFmtId="186" fontId="47" fillId="0" borderId="6" xfId="0" applyNumberFormat="1" applyFont="1" applyBorder="1" applyAlignment="1">
      <alignment horizontal="center" vertical="center" shrinkToFit="1"/>
    </xf>
    <xf numFmtId="0" fontId="7" fillId="6" borderId="13" xfId="0" applyFont="1" applyFill="1" applyBorder="1" applyAlignment="1">
      <alignment horizontal="center" vertical="center" shrinkToFit="1"/>
    </xf>
    <xf numFmtId="176" fontId="7" fillId="6" borderId="6" xfId="0" applyNumberFormat="1" applyFont="1" applyFill="1" applyBorder="1" applyAlignment="1">
      <alignment horizontal="right" vertical="center" shrinkToFit="1"/>
    </xf>
    <xf numFmtId="186" fontId="47" fillId="6" borderId="6" xfId="0" applyNumberFormat="1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vertical="center" shrinkToFit="1"/>
    </xf>
    <xf numFmtId="41" fontId="39" fillId="7" borderId="6" xfId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shrinkToFit="1"/>
    </xf>
    <xf numFmtId="176" fontId="7" fillId="0" borderId="8" xfId="0" applyNumberFormat="1" applyFont="1" applyBorder="1" applyAlignment="1">
      <alignment vertical="center" shrinkToFit="1"/>
    </xf>
    <xf numFmtId="176" fontId="7" fillId="0" borderId="67" xfId="0" applyNumberFormat="1" applyFont="1" applyBorder="1" applyAlignment="1">
      <alignment vertical="center" wrapText="1" shrinkToFit="1"/>
    </xf>
    <xf numFmtId="176" fontId="7" fillId="0" borderId="13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 shrinkToFit="1"/>
    </xf>
    <xf numFmtId="41" fontId="7" fillId="6" borderId="19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wrapText="1" shrinkToFi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shrinkToFit="1"/>
    </xf>
    <xf numFmtId="0" fontId="7" fillId="0" borderId="72" xfId="0" applyFont="1" applyBorder="1" applyAlignment="1">
      <alignment horizontal="center" vertical="center" shrinkToFit="1"/>
    </xf>
    <xf numFmtId="0" fontId="7" fillId="0" borderId="94" xfId="0" applyFont="1" applyBorder="1" applyAlignment="1">
      <alignment horizontal="center" vertical="center" shrinkToFit="1"/>
    </xf>
    <xf numFmtId="0" fontId="7" fillId="0" borderId="94" xfId="0" applyFont="1" applyBorder="1" applyAlignment="1">
      <alignment vertical="center" shrinkToFit="1"/>
    </xf>
    <xf numFmtId="0" fontId="7" fillId="0" borderId="139" xfId="0" applyFont="1" applyBorder="1" applyAlignment="1">
      <alignment vertical="center" shrinkToFit="1"/>
    </xf>
    <xf numFmtId="186" fontId="47" fillId="0" borderId="83" xfId="0" applyNumberFormat="1" applyFont="1" applyBorder="1" applyAlignment="1">
      <alignment horizontal="center" vertical="center" shrinkToFit="1"/>
    </xf>
    <xf numFmtId="41" fontId="7" fillId="0" borderId="34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 shrinkToFit="1"/>
    </xf>
    <xf numFmtId="41" fontId="34" fillId="0" borderId="0" xfId="1" applyFont="1" applyFill="1" applyBorder="1" applyAlignment="1">
      <alignment horizontal="center" vertical="center"/>
    </xf>
    <xf numFmtId="41" fontId="34" fillId="0" borderId="0" xfId="1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left" vertical="center"/>
    </xf>
    <xf numFmtId="0" fontId="52" fillId="0" borderId="0" xfId="0" applyFont="1"/>
    <xf numFmtId="0" fontId="36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176" fontId="34" fillId="0" borderId="0" xfId="0" applyNumberFormat="1" applyFont="1" applyAlignment="1">
      <alignment vertical="center"/>
    </xf>
    <xf numFmtId="176" fontId="34" fillId="0" borderId="0" xfId="0" applyNumberFormat="1" applyFont="1"/>
    <xf numFmtId="176" fontId="34" fillId="0" borderId="0" xfId="0" applyNumberFormat="1" applyFont="1" applyAlignment="1">
      <alignment horizontal="distributed" vertical="distributed" shrinkToFit="1"/>
    </xf>
    <xf numFmtId="176" fontId="34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center" vertical="center"/>
    </xf>
    <xf numFmtId="176" fontId="34" fillId="0" borderId="0" xfId="0" applyNumberFormat="1" applyFont="1" applyAlignment="1">
      <alignment horizontal="left" vertical="center"/>
    </xf>
    <xf numFmtId="176" fontId="34" fillId="0" borderId="0" xfId="0" quotePrefix="1" applyNumberFormat="1" applyFont="1" applyAlignment="1">
      <alignment horizontal="right" vertical="center"/>
    </xf>
    <xf numFmtId="41" fontId="34" fillId="0" borderId="0" xfId="1" applyFont="1" applyAlignment="1">
      <alignment horizontal="center" vertical="center"/>
    </xf>
    <xf numFmtId="3" fontId="46" fillId="0" borderId="0" xfId="11" applyNumberFormat="1" applyFont="1" applyBorder="1" applyAlignment="1">
      <alignment horizontal="center" vertical="center" shrinkToFit="1"/>
    </xf>
    <xf numFmtId="176" fontId="34" fillId="0" borderId="0" xfId="0" quotePrefix="1" applyNumberFormat="1" applyFont="1" applyAlignment="1">
      <alignment vertical="center"/>
    </xf>
    <xf numFmtId="41" fontId="7" fillId="0" borderId="19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vertical="center"/>
    </xf>
    <xf numFmtId="41" fontId="7" fillId="7" borderId="6" xfId="1" applyFont="1" applyFill="1" applyBorder="1" applyAlignment="1">
      <alignment vertical="center"/>
    </xf>
    <xf numFmtId="41" fontId="7" fillId="6" borderId="19" xfId="1" applyFont="1" applyFill="1" applyBorder="1" applyAlignment="1">
      <alignment horizontal="center" vertical="center"/>
    </xf>
    <xf numFmtId="41" fontId="7" fillId="6" borderId="6" xfId="1" applyFont="1" applyFill="1" applyBorder="1" applyAlignment="1">
      <alignment vertical="center"/>
    </xf>
    <xf numFmtId="41" fontId="7" fillId="0" borderId="34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36" fillId="0" borderId="0" xfId="1" applyFont="1" applyBorder="1" applyAlignment="1">
      <alignment horizontal="left" vertical="center"/>
    </xf>
    <xf numFmtId="41" fontId="37" fillId="0" borderId="22" xfId="1" applyFont="1" applyBorder="1" applyAlignment="1">
      <alignment horizontal="right" vertical="center"/>
    </xf>
    <xf numFmtId="41" fontId="7" fillId="0" borderId="22" xfId="1" applyFont="1" applyBorder="1" applyAlignment="1">
      <alignment horizontal="right" vertical="center"/>
    </xf>
    <xf numFmtId="41" fontId="37" fillId="0" borderId="0" xfId="1" applyFont="1" applyBorder="1" applyAlignment="1">
      <alignment horizontal="center" vertical="center"/>
    </xf>
    <xf numFmtId="41" fontId="7" fillId="0" borderId="37" xfId="1" applyFont="1" applyBorder="1" applyAlignment="1">
      <alignment horizontal="right" vertical="center" shrinkToFit="1"/>
    </xf>
    <xf numFmtId="41" fontId="34" fillId="0" borderId="10" xfId="1" applyFont="1" applyBorder="1" applyAlignment="1">
      <alignment horizontal="right" vertical="center" shrinkToFit="1"/>
    </xf>
    <xf numFmtId="41" fontId="7" fillId="0" borderId="10" xfId="1" applyFont="1" applyBorder="1" applyAlignment="1">
      <alignment horizontal="right" vertical="center" shrinkToFit="1"/>
    </xf>
    <xf numFmtId="4" fontId="7" fillId="0" borderId="10" xfId="1" applyNumberFormat="1" applyFont="1" applyBorder="1" applyAlignment="1">
      <alignment horizontal="right" vertical="center" shrinkToFit="1"/>
    </xf>
    <xf numFmtId="41" fontId="34" fillId="0" borderId="0" xfId="0" applyNumberFormat="1" applyFont="1" applyBorder="1" applyAlignment="1">
      <alignment vertical="center" shrinkToFit="1"/>
    </xf>
    <xf numFmtId="0" fontId="35" fillId="6" borderId="20" xfId="0" applyFont="1" applyFill="1" applyBorder="1" applyAlignment="1">
      <alignment horizontal="center" vertical="center" shrinkToFit="1"/>
    </xf>
    <xf numFmtId="0" fontId="35" fillId="6" borderId="5" xfId="0" applyFont="1" applyFill="1" applyBorder="1" applyAlignment="1">
      <alignment horizontal="center" vertical="center" shrinkToFit="1"/>
    </xf>
    <xf numFmtId="41" fontId="35" fillId="6" borderId="5" xfId="1" applyFont="1" applyFill="1" applyBorder="1" applyAlignment="1">
      <alignment horizontal="right" vertical="center" shrinkToFit="1"/>
    </xf>
    <xf numFmtId="4" fontId="35" fillId="6" borderId="5" xfId="1" applyNumberFormat="1" applyFont="1" applyFill="1" applyBorder="1" applyAlignment="1">
      <alignment horizontal="right" vertical="center" shrinkToFit="1"/>
    </xf>
    <xf numFmtId="177" fontId="35" fillId="0" borderId="0" xfId="0" applyNumberFormat="1" applyFont="1" applyBorder="1" applyAlignment="1">
      <alignment horizontal="right" vertical="center" shrinkToFit="1"/>
    </xf>
    <xf numFmtId="3" fontId="35" fillId="0" borderId="0" xfId="0" applyNumberFormat="1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 shrinkToFit="1"/>
    </xf>
    <xf numFmtId="0" fontId="35" fillId="5" borderId="6" xfId="0" applyFont="1" applyFill="1" applyBorder="1" applyAlignment="1">
      <alignment horizontal="center" vertical="center" shrinkToFit="1"/>
    </xf>
    <xf numFmtId="41" fontId="35" fillId="5" borderId="6" xfId="1" applyFont="1" applyFill="1" applyBorder="1" applyAlignment="1">
      <alignment horizontal="right" vertical="center" shrinkToFit="1"/>
    </xf>
    <xf numFmtId="4" fontId="35" fillId="5" borderId="6" xfId="1" applyNumberFormat="1" applyFont="1" applyFill="1" applyBorder="1" applyAlignment="1">
      <alignment horizontal="right" vertical="center" shrinkToFit="1"/>
    </xf>
    <xf numFmtId="0" fontId="35" fillId="0" borderId="6" xfId="0" applyFont="1" applyBorder="1" applyAlignment="1">
      <alignment horizontal="center" vertical="center" shrinkToFit="1"/>
    </xf>
    <xf numFmtId="41" fontId="35" fillId="0" borderId="6" xfId="1" applyFont="1" applyBorder="1" applyAlignment="1">
      <alignment horizontal="right" vertical="center" shrinkToFit="1"/>
    </xf>
    <xf numFmtId="4" fontId="35" fillId="0" borderId="6" xfId="1" applyNumberFormat="1" applyFont="1" applyBorder="1" applyAlignment="1">
      <alignment horizontal="right" vertical="center" shrinkToFit="1"/>
    </xf>
    <xf numFmtId="177" fontId="35" fillId="0" borderId="0" xfId="1" applyNumberFormat="1" applyFont="1" applyBorder="1" applyAlignment="1">
      <alignment horizontal="right" vertical="center" shrinkToFit="1"/>
    </xf>
    <xf numFmtId="0" fontId="35" fillId="6" borderId="13" xfId="0" applyFont="1" applyFill="1" applyBorder="1" applyAlignment="1">
      <alignment horizontal="center" vertical="center" shrinkToFit="1"/>
    </xf>
    <xf numFmtId="0" fontId="35" fillId="6" borderId="6" xfId="0" applyFont="1" applyFill="1" applyBorder="1" applyAlignment="1">
      <alignment horizontal="center" vertical="center" shrinkToFit="1"/>
    </xf>
    <xf numFmtId="41" fontId="35" fillId="6" borderId="6" xfId="1" applyFont="1" applyFill="1" applyBorder="1" applyAlignment="1">
      <alignment horizontal="right" vertical="center" shrinkToFit="1"/>
    </xf>
    <xf numFmtId="0" fontId="35" fillId="0" borderId="13" xfId="0" applyFont="1" applyFill="1" applyBorder="1" applyAlignment="1">
      <alignment horizontal="center" vertical="center" shrinkToFit="1"/>
    </xf>
    <xf numFmtId="0" fontId="35" fillId="0" borderId="6" xfId="0" applyFont="1" applyFill="1" applyBorder="1" applyAlignment="1">
      <alignment horizontal="center" vertical="center" shrinkToFit="1"/>
    </xf>
    <xf numFmtId="41" fontId="35" fillId="0" borderId="6" xfId="1" applyFont="1" applyFill="1" applyBorder="1" applyAlignment="1">
      <alignment horizontal="right" vertical="center" shrinkToFit="1"/>
    </xf>
    <xf numFmtId="177" fontId="53" fillId="0" borderId="0" xfId="1" applyNumberFormat="1" applyFont="1" applyBorder="1" applyAlignment="1">
      <alignment horizontal="right" vertical="center" shrinkToFit="1"/>
    </xf>
    <xf numFmtId="0" fontId="53" fillId="0" borderId="0" xfId="0" applyFont="1" applyBorder="1" applyAlignment="1">
      <alignment vertical="center"/>
    </xf>
    <xf numFmtId="41" fontId="35" fillId="0" borderId="0" xfId="1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distributed" vertical="center"/>
    </xf>
    <xf numFmtId="176" fontId="35" fillId="0" borderId="6" xfId="0" applyNumberFormat="1" applyFont="1" applyBorder="1" applyAlignment="1">
      <alignment vertical="center"/>
    </xf>
    <xf numFmtId="41" fontId="35" fillId="0" borderId="0" xfId="0" applyNumberFormat="1" applyFont="1" applyBorder="1" applyAlignment="1">
      <alignment vertical="center"/>
    </xf>
    <xf numFmtId="0" fontId="53" fillId="0" borderId="0" xfId="0" applyFont="1" applyBorder="1" applyAlignment="1">
      <alignment vertical="center" shrinkToFit="1"/>
    </xf>
    <xf numFmtId="179" fontId="7" fillId="0" borderId="6" xfId="0" applyNumberFormat="1" applyFont="1" applyBorder="1" applyAlignment="1">
      <alignment vertical="center"/>
    </xf>
    <xf numFmtId="0" fontId="35" fillId="6" borderId="6" xfId="0" applyFont="1" applyFill="1" applyBorder="1" applyAlignment="1">
      <alignment horizontal="center" vertical="center"/>
    </xf>
    <xf numFmtId="0" fontId="35" fillId="0" borderId="13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76" fontId="35" fillId="0" borderId="6" xfId="0" applyNumberFormat="1" applyFont="1" applyBorder="1" applyAlignment="1">
      <alignment horizontal="right" vertical="center"/>
    </xf>
    <xf numFmtId="4" fontId="35" fillId="6" borderId="6" xfId="1" applyNumberFormat="1" applyFont="1" applyFill="1" applyBorder="1" applyAlignment="1">
      <alignment horizontal="right" vertical="center" shrinkToFit="1"/>
    </xf>
    <xf numFmtId="41" fontId="35" fillId="0" borderId="6" xfId="1" applyFont="1" applyBorder="1" applyAlignment="1">
      <alignment horizontal="center" vertical="center"/>
    </xf>
    <xf numFmtId="41" fontId="35" fillId="0" borderId="6" xfId="1" applyFont="1" applyBorder="1" applyAlignment="1">
      <alignment vertical="center"/>
    </xf>
    <xf numFmtId="4" fontId="35" fillId="0" borderId="6" xfId="0" applyNumberFormat="1" applyFont="1" applyBorder="1" applyAlignment="1">
      <alignment horizontal="right" vertical="center"/>
    </xf>
    <xf numFmtId="0" fontId="35" fillId="6" borderId="13" xfId="0" applyFont="1" applyFill="1" applyBorder="1" applyAlignment="1">
      <alignment horizontal="center" vertical="center"/>
    </xf>
    <xf numFmtId="4" fontId="35" fillId="6" borderId="6" xfId="0" applyNumberFormat="1" applyFont="1" applyFill="1" applyBorder="1" applyAlignment="1">
      <alignment horizontal="right" vertical="center"/>
    </xf>
    <xf numFmtId="0" fontId="35" fillId="5" borderId="6" xfId="0" applyFont="1" applyFill="1" applyBorder="1" applyAlignment="1">
      <alignment horizontal="center" vertical="center"/>
    </xf>
    <xf numFmtId="4" fontId="35" fillId="5" borderId="6" xfId="0" applyNumberFormat="1" applyFont="1" applyFill="1" applyBorder="1" applyAlignment="1">
      <alignment horizontal="right" vertical="center"/>
    </xf>
    <xf numFmtId="0" fontId="35" fillId="0" borderId="82" xfId="0" applyFont="1" applyBorder="1" applyAlignment="1">
      <alignment horizontal="center" vertical="center"/>
    </xf>
    <xf numFmtId="0" fontId="35" fillId="0" borderId="83" xfId="0" applyFont="1" applyBorder="1" applyAlignment="1">
      <alignment horizontal="center" vertical="center"/>
    </xf>
    <xf numFmtId="176" fontId="35" fillId="0" borderId="83" xfId="0" applyNumberFormat="1" applyFont="1" applyBorder="1" applyAlignment="1">
      <alignment vertical="center"/>
    </xf>
    <xf numFmtId="41" fontId="35" fillId="0" borderId="83" xfId="1" applyFont="1" applyBorder="1" applyAlignment="1">
      <alignment horizontal="right" vertical="center" shrinkToFit="1"/>
    </xf>
    <xf numFmtId="4" fontId="35" fillId="0" borderId="83" xfId="0" applyNumberFormat="1" applyFont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horizontal="right" vertical="center"/>
    </xf>
    <xf numFmtId="179" fontId="34" fillId="0" borderId="0" xfId="0" applyNumberFormat="1" applyFont="1" applyAlignment="1">
      <alignment vertical="center"/>
    </xf>
    <xf numFmtId="179" fontId="36" fillId="0" borderId="48" xfId="0" applyNumberFormat="1" applyFont="1" applyBorder="1" applyAlignment="1">
      <alignment horizontal="distributed" vertical="center" shrinkToFit="1"/>
    </xf>
    <xf numFmtId="179" fontId="36" fillId="0" borderId="48" xfId="0" applyNumberFormat="1" applyFont="1" applyBorder="1" applyAlignment="1">
      <alignment horizontal="right" vertical="center"/>
    </xf>
    <xf numFmtId="179" fontId="36" fillId="0" borderId="48" xfId="0" applyNumberFormat="1" applyFont="1" applyBorder="1" applyAlignment="1">
      <alignment horizontal="distributed" vertical="center" indent="1"/>
    </xf>
    <xf numFmtId="179" fontId="36" fillId="0" borderId="147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horizontal="distributed" vertical="center" indent="1"/>
    </xf>
    <xf numFmtId="179" fontId="34" fillId="0" borderId="40" xfId="0" applyNumberFormat="1" applyFont="1" applyBorder="1" applyAlignment="1">
      <alignment horizontal="right" vertical="center"/>
    </xf>
    <xf numFmtId="179" fontId="34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distributed" vertical="center" indent="1"/>
    </xf>
    <xf numFmtId="179" fontId="34" fillId="0" borderId="3" xfId="0" applyNumberFormat="1" applyFont="1" applyBorder="1" applyAlignment="1">
      <alignment horizontal="distributed" vertical="center" indent="1"/>
    </xf>
    <xf numFmtId="179" fontId="34" fillId="0" borderId="83" xfId="0" quotePrefix="1" applyNumberFormat="1" applyFont="1" applyBorder="1" applyAlignment="1">
      <alignment horizontal="distributed" vertical="center" shrinkToFit="1"/>
    </xf>
    <xf numFmtId="179" fontId="34" fillId="0" borderId="83" xfId="0" quotePrefix="1" applyNumberFormat="1" applyFont="1" applyBorder="1" applyAlignment="1">
      <alignment horizontal="right" vertical="center"/>
    </xf>
    <xf numFmtId="179" fontId="34" fillId="0" borderId="83" xfId="0" applyNumberFormat="1" applyFont="1" applyBorder="1" applyAlignment="1">
      <alignment horizontal="distributed" vertical="center" indent="1"/>
    </xf>
    <xf numFmtId="179" fontId="34" fillId="0" borderId="44" xfId="0" applyNumberFormat="1" applyFont="1" applyBorder="1" applyAlignment="1">
      <alignment horizontal="right" vertical="center"/>
    </xf>
    <xf numFmtId="179" fontId="34" fillId="0" borderId="5" xfId="0" applyNumberFormat="1" applyFont="1" applyBorder="1" applyAlignment="1">
      <alignment horizontal="right" vertical="center"/>
    </xf>
    <xf numFmtId="179" fontId="34" fillId="0" borderId="39" xfId="0" applyNumberFormat="1" applyFont="1" applyBorder="1" applyAlignment="1">
      <alignment horizontal="right" vertical="center"/>
    </xf>
    <xf numFmtId="179" fontId="35" fillId="0" borderId="6" xfId="0" applyNumberFormat="1" applyFont="1" applyBorder="1" applyAlignment="1">
      <alignment horizontal="distributed" vertical="center" wrapText="1" indent="1"/>
    </xf>
    <xf numFmtId="179" fontId="34" fillId="0" borderId="6" xfId="0" applyNumberFormat="1" applyFont="1" applyBorder="1" applyAlignment="1">
      <alignment horizontal="distributed" vertical="center" wrapText="1" indent="1"/>
    </xf>
    <xf numFmtId="179" fontId="34" fillId="0" borderId="125" xfId="0" applyNumberFormat="1" applyFont="1" applyBorder="1" applyAlignment="1">
      <alignment horizontal="distributed" vertical="center" shrinkToFit="1"/>
    </xf>
    <xf numFmtId="179" fontId="34" fillId="0" borderId="125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vertical="center" shrinkToFit="1"/>
    </xf>
    <xf numFmtId="41" fontId="7" fillId="0" borderId="102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vertical="center" shrinkToFit="1"/>
    </xf>
    <xf numFmtId="41" fontId="7" fillId="0" borderId="5" xfId="1" applyFont="1" applyFill="1" applyBorder="1" applyAlignment="1">
      <alignment horizontal="right" vertical="center" shrinkToFit="1"/>
    </xf>
    <xf numFmtId="176" fontId="7" fillId="0" borderId="83" xfId="0" applyNumberFormat="1" applyFont="1" applyBorder="1" applyAlignment="1">
      <alignment vertical="center" shrinkToFit="1"/>
    </xf>
    <xf numFmtId="0" fontId="45" fillId="0" borderId="141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shrinkToFit="1"/>
    </xf>
    <xf numFmtId="176" fontId="7" fillId="6" borderId="5" xfId="0" applyNumberFormat="1" applyFont="1" applyFill="1" applyBorder="1" applyAlignment="1">
      <alignment vertical="center" shrinkToFit="1"/>
    </xf>
    <xf numFmtId="186" fontId="35" fillId="7" borderId="33" xfId="0" applyNumberFormat="1" applyFont="1" applyFill="1" applyBorder="1" applyAlignment="1">
      <alignment horizontal="right" vertical="center" shrinkToFit="1"/>
    </xf>
    <xf numFmtId="186" fontId="35" fillId="0" borderId="33" xfId="0" applyNumberFormat="1" applyFont="1" applyBorder="1" applyAlignment="1">
      <alignment horizontal="right" vertical="center" shrinkToFit="1"/>
    </xf>
    <xf numFmtId="186" fontId="35" fillId="6" borderId="71" xfId="0" applyNumberFormat="1" applyFont="1" applyFill="1" applyBorder="1" applyAlignment="1">
      <alignment horizontal="right" vertical="center" shrinkToFit="1"/>
    </xf>
    <xf numFmtId="186" fontId="35" fillId="0" borderId="68" xfId="0" applyNumberFormat="1" applyFont="1" applyBorder="1" applyAlignment="1">
      <alignment horizontal="right" vertical="center" shrinkToFit="1"/>
    </xf>
    <xf numFmtId="185" fontId="49" fillId="0" borderId="10" xfId="0" applyNumberFormat="1" applyFont="1" applyBorder="1" applyAlignment="1">
      <alignment horizontal="right" vertical="center" shrinkToFit="1"/>
    </xf>
    <xf numFmtId="179" fontId="34" fillId="0" borderId="83" xfId="0" applyNumberFormat="1" applyFont="1" applyBorder="1" applyAlignment="1">
      <alignment horizontal="distributed" vertical="center" shrinkToFit="1"/>
    </xf>
    <xf numFmtId="179" fontId="34" fillId="0" borderId="83" xfId="0" applyNumberFormat="1" applyFont="1" applyBorder="1" applyAlignment="1">
      <alignment horizontal="right" vertical="center"/>
    </xf>
    <xf numFmtId="179" fontId="34" fillId="0" borderId="3" xfId="0" quotePrefix="1" applyNumberFormat="1" applyFont="1" applyBorder="1" applyAlignment="1">
      <alignment horizontal="distributed" vertical="center" shrinkToFit="1"/>
    </xf>
    <xf numFmtId="179" fontId="34" fillId="0" borderId="3" xfId="0" quotePrefix="1" applyNumberFormat="1" applyFont="1" applyBorder="1" applyAlignment="1">
      <alignment horizontal="right" vertical="center"/>
    </xf>
    <xf numFmtId="0" fontId="7" fillId="6" borderId="11" xfId="0" applyFont="1" applyFill="1" applyBorder="1" applyAlignment="1">
      <alignment horizontal="center" vertical="center" shrinkToFit="1"/>
    </xf>
    <xf numFmtId="190" fontId="35" fillId="7" borderId="33" xfId="0" applyNumberFormat="1" applyFont="1" applyFill="1" applyBorder="1" applyAlignment="1">
      <alignment horizontal="right" vertical="center" shrinkToFit="1"/>
    </xf>
    <xf numFmtId="190" fontId="35" fillId="0" borderId="33" xfId="0" applyNumberFormat="1" applyFont="1" applyBorder="1" applyAlignment="1">
      <alignment horizontal="right" vertical="center" shrinkToFit="1"/>
    </xf>
    <xf numFmtId="190" fontId="35" fillId="6" borderId="71" xfId="0" applyNumberFormat="1" applyFont="1" applyFill="1" applyBorder="1" applyAlignment="1">
      <alignment horizontal="right" vertical="center" shrinkToFit="1"/>
    </xf>
    <xf numFmtId="0" fontId="7" fillId="0" borderId="7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185" fontId="49" fillId="0" borderId="45" xfId="0" applyNumberFormat="1" applyFont="1" applyBorder="1" applyAlignment="1">
      <alignment horizontal="right" vertical="center" shrinkToFit="1"/>
    </xf>
    <xf numFmtId="0" fontId="7" fillId="6" borderId="151" xfId="0" applyFont="1" applyFill="1" applyBorder="1" applyAlignment="1">
      <alignment horizontal="center" vertical="center" shrinkToFit="1"/>
    </xf>
    <xf numFmtId="176" fontId="7" fillId="6" borderId="11" xfId="1" applyNumberFormat="1" applyFont="1" applyFill="1" applyBorder="1" applyAlignment="1">
      <alignment vertical="center" shrinkToFit="1"/>
    </xf>
    <xf numFmtId="176" fontId="7" fillId="6" borderId="28" xfId="1" applyNumberFormat="1" applyFont="1" applyFill="1" applyBorder="1" applyAlignment="1">
      <alignment vertical="center" shrinkToFit="1"/>
    </xf>
    <xf numFmtId="186" fontId="38" fillId="6" borderId="32" xfId="0" applyNumberFormat="1" applyFont="1" applyFill="1" applyBorder="1" applyAlignment="1">
      <alignment horizontal="right" vertical="center" shrinkToFit="1"/>
    </xf>
    <xf numFmtId="41" fontId="7" fillId="5" borderId="6" xfId="1" applyFont="1" applyFill="1" applyBorder="1" applyAlignment="1">
      <alignment vertical="center"/>
    </xf>
    <xf numFmtId="190" fontId="50" fillId="6" borderId="5" xfId="0" applyNumberFormat="1" applyFont="1" applyFill="1" applyBorder="1" applyAlignment="1">
      <alignment horizontal="center" vertical="center" shrinkToFit="1"/>
    </xf>
    <xf numFmtId="190" fontId="47" fillId="7" borderId="6" xfId="0" applyNumberFormat="1" applyFont="1" applyFill="1" applyBorder="1" applyAlignment="1">
      <alignment horizontal="center" vertical="center" shrinkToFit="1"/>
    </xf>
    <xf numFmtId="190" fontId="47" fillId="0" borderId="6" xfId="0" applyNumberFormat="1" applyFont="1" applyBorder="1" applyAlignment="1">
      <alignment horizontal="center" vertical="center" shrinkToFit="1"/>
    </xf>
    <xf numFmtId="190" fontId="47" fillId="6" borderId="6" xfId="0" applyNumberFormat="1" applyFont="1" applyFill="1" applyBorder="1" applyAlignment="1">
      <alignment horizontal="center" vertical="center" shrinkToFit="1"/>
    </xf>
    <xf numFmtId="0" fontId="34" fillId="0" borderId="59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6" borderId="75" xfId="1" applyNumberFormat="1" applyFont="1" applyFill="1" applyBorder="1" applyAlignment="1">
      <alignment horizontal="right" vertical="center" shrinkToFit="1"/>
    </xf>
    <xf numFmtId="41" fontId="7" fillId="7" borderId="14" xfId="1" applyFont="1" applyFill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left" vertical="center" wrapText="1" shrinkToFit="1"/>
    </xf>
    <xf numFmtId="176" fontId="7" fillId="0" borderId="14" xfId="0" applyNumberFormat="1" applyFont="1" applyBorder="1" applyAlignment="1">
      <alignment horizontal="left" vertical="center" shrinkToFit="1"/>
    </xf>
    <xf numFmtId="41" fontId="7" fillId="6" borderId="14" xfId="1" applyFont="1" applyFill="1" applyBorder="1" applyAlignment="1">
      <alignment horizontal="right" vertical="center" shrinkToFit="1"/>
    </xf>
    <xf numFmtId="41" fontId="7" fillId="6" borderId="35" xfId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vertical="center"/>
    </xf>
    <xf numFmtId="41" fontId="7" fillId="7" borderId="14" xfId="1" applyFont="1" applyFill="1" applyBorder="1" applyAlignment="1">
      <alignment vertical="center"/>
    </xf>
    <xf numFmtId="0" fontId="7" fillId="0" borderId="23" xfId="0" applyFont="1" applyBorder="1" applyAlignment="1">
      <alignment vertical="center" wrapText="1" shrinkToFit="1"/>
    </xf>
    <xf numFmtId="176" fontId="7" fillId="0" borderId="24" xfId="0" applyNumberFormat="1" applyFont="1" applyBorder="1" applyAlignment="1">
      <alignment horizontal="left" vertical="center" wrapText="1" shrinkToFit="1"/>
    </xf>
    <xf numFmtId="188" fontId="7" fillId="6" borderId="11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horizontal="right" vertical="center" shrinkToFit="1"/>
    </xf>
    <xf numFmtId="188" fontId="7" fillId="0" borderId="6" xfId="1" applyNumberFormat="1" applyFont="1" applyFill="1" applyBorder="1" applyAlignment="1">
      <alignment horizontal="right" vertical="center" shrinkToFit="1"/>
    </xf>
    <xf numFmtId="188" fontId="7" fillId="6" borderId="6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 wrapText="1"/>
    </xf>
    <xf numFmtId="49" fontId="7" fillId="2" borderId="80" xfId="1" applyNumberFormat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/>
    </xf>
    <xf numFmtId="0" fontId="7" fillId="16" borderId="79" xfId="0" applyFont="1" applyFill="1" applyBorder="1" applyAlignment="1">
      <alignment horizontal="center" vertical="center"/>
    </xf>
    <xf numFmtId="49" fontId="7" fillId="0" borderId="70" xfId="0" applyNumberFormat="1" applyFont="1" applyFill="1" applyBorder="1" applyAlignment="1">
      <alignment horizontal="center" vertical="center"/>
    </xf>
    <xf numFmtId="41" fontId="58" fillId="0" borderId="59" xfId="0" applyNumberFormat="1" applyFont="1" applyBorder="1" applyAlignment="1">
      <alignment horizontal="right" vertical="center"/>
    </xf>
    <xf numFmtId="41" fontId="58" fillId="0" borderId="70" xfId="0" applyNumberFormat="1" applyFont="1" applyBorder="1" applyAlignment="1">
      <alignment horizontal="right" vertical="center"/>
    </xf>
    <xf numFmtId="41" fontId="7" fillId="0" borderId="70" xfId="1" applyFont="1" applyFill="1" applyBorder="1" applyAlignment="1">
      <alignment vertical="center"/>
    </xf>
    <xf numFmtId="0" fontId="7" fillId="16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2" fontId="49" fillId="0" borderId="0" xfId="16" applyFont="1" applyFill="1" applyAlignment="1">
      <alignment horizontal="left" vertical="center"/>
    </xf>
    <xf numFmtId="42" fontId="7" fillId="0" borderId="0" xfId="16" applyFont="1" applyFill="1" applyAlignment="1">
      <alignment horizontal="center" vertical="center"/>
    </xf>
    <xf numFmtId="41" fontId="59" fillId="0" borderId="59" xfId="1" applyFont="1" applyFill="1" applyBorder="1" applyAlignment="1">
      <alignment horizontal="center" vertical="center"/>
    </xf>
    <xf numFmtId="41" fontId="60" fillId="12" borderId="59" xfId="0" applyNumberFormat="1" applyFont="1" applyFill="1" applyBorder="1" applyAlignment="1">
      <alignment horizontal="right" vertical="center"/>
    </xf>
    <xf numFmtId="41" fontId="60" fillId="0" borderId="59" xfId="0" applyNumberFormat="1" applyFont="1" applyBorder="1" applyAlignment="1">
      <alignment horizontal="right" vertical="center"/>
    </xf>
    <xf numFmtId="41" fontId="60" fillId="0" borderId="70" xfId="0" applyNumberFormat="1" applyFont="1" applyBorder="1" applyAlignment="1">
      <alignment horizontal="right" vertical="center"/>
    </xf>
    <xf numFmtId="41" fontId="59" fillId="0" borderId="70" xfId="18" applyFont="1" applyBorder="1" applyAlignment="1">
      <alignment horizontal="right" vertical="center"/>
    </xf>
    <xf numFmtId="41" fontId="59" fillId="0" borderId="70" xfId="1" applyFont="1" applyFill="1" applyBorder="1" applyAlignment="1">
      <alignment vertical="center"/>
    </xf>
    <xf numFmtId="41" fontId="59" fillId="12" borderId="70" xfId="1" applyNumberFormat="1" applyFont="1" applyFill="1" applyBorder="1" applyAlignment="1">
      <alignment vertical="center"/>
    </xf>
    <xf numFmtId="41" fontId="59" fillId="9" borderId="70" xfId="18" applyFont="1" applyFill="1" applyBorder="1" applyAlignment="1">
      <alignment horizontal="right" vertical="center"/>
    </xf>
    <xf numFmtId="41" fontId="59" fillId="12" borderId="70" xfId="1" applyFont="1" applyFill="1" applyBorder="1" applyAlignment="1">
      <alignment vertical="center"/>
    </xf>
    <xf numFmtId="41" fontId="59" fillId="0" borderId="79" xfId="1" applyFont="1" applyFill="1" applyBorder="1" applyAlignment="1">
      <alignment vertical="center"/>
    </xf>
    <xf numFmtId="41" fontId="59" fillId="12" borderId="79" xfId="1" applyFont="1" applyFill="1" applyBorder="1" applyAlignment="1">
      <alignment vertical="center"/>
    </xf>
    <xf numFmtId="41" fontId="59" fillId="0" borderId="5" xfId="18" applyFont="1" applyBorder="1" applyAlignment="1">
      <alignment horizontal="right" vertical="center"/>
    </xf>
    <xf numFmtId="41" fontId="59" fillId="0" borderId="80" xfId="1" applyFont="1" applyFill="1" applyBorder="1" applyAlignment="1">
      <alignment vertical="center"/>
    </xf>
    <xf numFmtId="41" fontId="59" fillId="12" borderId="80" xfId="1" applyFont="1" applyFill="1" applyBorder="1" applyAlignment="1">
      <alignment vertical="center"/>
    </xf>
    <xf numFmtId="41" fontId="59" fillId="4" borderId="59" xfId="1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1" fontId="59" fillId="0" borderId="95" xfId="1" applyFont="1" applyFill="1" applyBorder="1" applyAlignment="1">
      <alignment vertical="center"/>
    </xf>
    <xf numFmtId="49" fontId="7" fillId="19" borderId="70" xfId="0" applyNumberFormat="1" applyFont="1" applyFill="1" applyBorder="1" applyAlignment="1">
      <alignment horizontal="center" vertical="center"/>
    </xf>
    <xf numFmtId="49" fontId="7" fillId="4" borderId="70" xfId="0" applyNumberFormat="1" applyFont="1" applyFill="1" applyBorder="1" applyAlignment="1">
      <alignment horizontal="center" vertical="center"/>
    </xf>
    <xf numFmtId="0" fontId="7" fillId="16" borderId="95" xfId="0" applyFont="1" applyFill="1" applyBorder="1" applyAlignment="1">
      <alignment horizontal="center" vertical="center"/>
    </xf>
    <xf numFmtId="49" fontId="7" fillId="4" borderId="79" xfId="0" applyNumberFormat="1" applyFont="1" applyFill="1" applyBorder="1" applyAlignment="1">
      <alignment horizontal="center" vertical="center"/>
    </xf>
    <xf numFmtId="41" fontId="47" fillId="0" borderId="70" xfId="0" applyNumberFormat="1" applyFont="1" applyBorder="1" applyAlignment="1">
      <alignment vertical="center"/>
    </xf>
    <xf numFmtId="41" fontId="59" fillId="9" borderId="25" xfId="18" applyFont="1" applyFill="1" applyBorder="1" applyAlignment="1">
      <alignment horizontal="right" vertical="center"/>
    </xf>
    <xf numFmtId="0" fontId="59" fillId="0" borderId="0" xfId="0" applyFont="1"/>
    <xf numFmtId="41" fontId="59" fillId="4" borderId="42" xfId="1" applyFont="1" applyFill="1" applyBorder="1" applyAlignment="1">
      <alignment horizontal="center" vertical="center"/>
    </xf>
    <xf numFmtId="41" fontId="60" fillId="12" borderId="42" xfId="0" applyNumberFormat="1" applyFont="1" applyFill="1" applyBorder="1" applyAlignment="1">
      <alignment horizontal="right" vertical="center"/>
    </xf>
    <xf numFmtId="41" fontId="60" fillId="0" borderId="42" xfId="0" applyNumberFormat="1" applyFont="1" applyBorder="1" applyAlignment="1">
      <alignment horizontal="right" vertical="center"/>
    </xf>
    <xf numFmtId="41" fontId="60" fillId="0" borderId="79" xfId="0" applyNumberFormat="1" applyFont="1" applyBorder="1" applyAlignment="1">
      <alignment horizontal="right" vertical="center"/>
    </xf>
    <xf numFmtId="41" fontId="59" fillId="0" borderId="4" xfId="18" applyFont="1" applyBorder="1" applyAlignment="1">
      <alignment horizontal="right" vertical="center"/>
    </xf>
    <xf numFmtId="41" fontId="59" fillId="12" borderId="79" xfId="1" applyNumberFormat="1" applyFont="1" applyFill="1" applyBorder="1" applyAlignment="1">
      <alignment vertical="center"/>
    </xf>
    <xf numFmtId="41" fontId="59" fillId="9" borderId="79" xfId="18" applyFont="1" applyFill="1" applyBorder="1" applyAlignment="1">
      <alignment horizontal="right" vertical="center"/>
    </xf>
    <xf numFmtId="41" fontId="59" fillId="12" borderId="70" xfId="0" applyNumberFormat="1" applyFont="1" applyFill="1" applyBorder="1" applyAlignment="1">
      <alignment vertical="center"/>
    </xf>
    <xf numFmtId="41" fontId="59" fillId="0" borderId="70" xfId="0" applyNumberFormat="1" applyFont="1" applyBorder="1" applyAlignment="1">
      <alignment vertical="center"/>
    </xf>
    <xf numFmtId="41" fontId="59" fillId="3" borderId="70" xfId="0" applyNumberFormat="1" applyFont="1" applyFill="1" applyBorder="1" applyAlignment="1">
      <alignment vertical="center"/>
    </xf>
    <xf numFmtId="41" fontId="47" fillId="12" borderId="70" xfId="0" applyNumberFormat="1" applyFont="1" applyFill="1" applyBorder="1" applyAlignment="1">
      <alignment vertical="center"/>
    </xf>
    <xf numFmtId="41" fontId="47" fillId="3" borderId="70" xfId="0" applyNumberFormat="1" applyFont="1" applyFill="1" applyBorder="1" applyAlignment="1">
      <alignment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70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41" fontId="7" fillId="3" borderId="70" xfId="1" applyFont="1" applyFill="1" applyBorder="1" applyAlignment="1">
      <alignment vertical="center"/>
    </xf>
    <xf numFmtId="0" fontId="7" fillId="0" borderId="70" xfId="0" applyFont="1" applyFill="1" applyBorder="1" applyAlignment="1">
      <alignment vertical="center"/>
    </xf>
    <xf numFmtId="42" fontId="7" fillId="4" borderId="70" xfId="16" applyFont="1" applyFill="1" applyBorder="1" applyAlignment="1">
      <alignment horizontal="center" vertical="center"/>
    </xf>
    <xf numFmtId="42" fontId="7" fillId="0" borderId="70" xfId="16" applyFont="1" applyFill="1" applyBorder="1" applyAlignment="1">
      <alignment horizontal="center" vertical="center"/>
    </xf>
    <xf numFmtId="42" fontId="7" fillId="0" borderId="0" xfId="16" applyFont="1" applyFill="1" applyAlignment="1">
      <alignment vertical="center"/>
    </xf>
    <xf numFmtId="41" fontId="7" fillId="0" borderId="0" xfId="1" applyFont="1" applyFill="1" applyAlignment="1">
      <alignment vertical="center"/>
    </xf>
    <xf numFmtId="0" fontId="7" fillId="0" borderId="9" xfId="0" applyNumberFormat="1" applyFont="1" applyFill="1" applyBorder="1" applyAlignment="1">
      <alignment horizontal="center" vertical="center" shrinkToFit="1"/>
    </xf>
    <xf numFmtId="41" fontId="7" fillId="0" borderId="9" xfId="0" applyNumberFormat="1" applyFont="1" applyBorder="1" applyAlignment="1">
      <alignment vertical="center" shrinkToFit="1"/>
    </xf>
    <xf numFmtId="0" fontId="47" fillId="0" borderId="9" xfId="0" applyNumberFormat="1" applyFont="1" applyFill="1" applyBorder="1" applyAlignment="1">
      <alignment horizontal="center" vertical="center" shrinkToFit="1"/>
    </xf>
    <xf numFmtId="0" fontId="61" fillId="0" borderId="9" xfId="22" applyFont="1" applyFill="1" applyBorder="1" applyAlignment="1">
      <alignment horizontal="center" vertical="center"/>
    </xf>
    <xf numFmtId="181" fontId="61" fillId="0" borderId="9" xfId="22" applyNumberFormat="1" applyFont="1" applyFill="1" applyBorder="1" applyAlignment="1">
      <alignment horizontal="right" vertical="center"/>
    </xf>
    <xf numFmtId="180" fontId="61" fillId="0" borderId="9" xfId="22" applyNumberFormat="1" applyFont="1" applyFill="1" applyBorder="1" applyAlignment="1">
      <alignment horizontal="center" vertical="center"/>
    </xf>
    <xf numFmtId="49" fontId="61" fillId="0" borderId="9" xfId="22" applyNumberFormat="1" applyFont="1" applyFill="1" applyBorder="1" applyAlignment="1">
      <alignment horizontal="center" vertical="center"/>
    </xf>
    <xf numFmtId="189" fontId="61" fillId="0" borderId="14" xfId="11" applyNumberFormat="1" applyFont="1" applyFill="1" applyBorder="1" applyAlignment="1">
      <alignment horizontal="right" vertical="center"/>
    </xf>
    <xf numFmtId="182" fontId="7" fillId="0" borderId="9" xfId="0" applyNumberFormat="1" applyFont="1" applyBorder="1" applyAlignment="1">
      <alignment horizontal="center" vertical="center" shrinkToFit="1"/>
    </xf>
    <xf numFmtId="41" fontId="34" fillId="0" borderId="0" xfId="0" applyNumberFormat="1" applyFont="1" applyBorder="1" applyAlignment="1">
      <alignment vertical="center"/>
    </xf>
    <xf numFmtId="180" fontId="61" fillId="0" borderId="9" xfId="21" applyNumberFormat="1" applyFont="1" applyFill="1" applyBorder="1" applyAlignment="1">
      <alignment horizontal="center" vertical="center"/>
    </xf>
    <xf numFmtId="9" fontId="61" fillId="0" borderId="9" xfId="21" applyFont="1" applyFill="1" applyBorder="1" applyAlignment="1">
      <alignment horizontal="right" vertical="center"/>
    </xf>
    <xf numFmtId="181" fontId="61" fillId="0" borderId="9" xfId="21" applyNumberFormat="1" applyFont="1" applyFill="1" applyBorder="1" applyAlignment="1">
      <alignment horizontal="right" vertical="center"/>
    </xf>
    <xf numFmtId="191" fontId="61" fillId="0" borderId="9" xfId="22" quotePrefix="1" applyNumberFormat="1" applyFont="1" applyFill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vertical="center"/>
    </xf>
    <xf numFmtId="12" fontId="39" fillId="0" borderId="9" xfId="1" applyNumberFormat="1" applyFont="1" applyFill="1" applyBorder="1" applyAlignment="1">
      <alignment horizontal="center" vertical="center" shrinkToFit="1"/>
    </xf>
    <xf numFmtId="0" fontId="39" fillId="0" borderId="9" xfId="22" applyFont="1" applyFill="1" applyBorder="1" applyAlignment="1">
      <alignment horizontal="center" vertical="center"/>
    </xf>
    <xf numFmtId="10" fontId="62" fillId="0" borderId="9" xfId="23" applyNumberFormat="1" applyFont="1" applyFill="1" applyBorder="1" applyAlignment="1">
      <alignment horizontal="right" vertical="center" shrinkToFit="1"/>
    </xf>
    <xf numFmtId="192" fontId="62" fillId="0" borderId="9" xfId="23" applyNumberFormat="1" applyFont="1" applyFill="1" applyBorder="1" applyAlignment="1">
      <alignment horizontal="right" vertical="center" shrinkToFit="1"/>
    </xf>
    <xf numFmtId="189" fontId="7" fillId="0" borderId="0" xfId="1" applyNumberFormat="1" applyFont="1" applyBorder="1" applyAlignment="1">
      <alignment vertical="center"/>
    </xf>
    <xf numFmtId="189" fontId="7" fillId="0" borderId="22" xfId="0" applyNumberFormat="1" applyFont="1" applyBorder="1" applyAlignment="1">
      <alignment horizontal="right" vertical="center"/>
    </xf>
    <xf numFmtId="189" fontId="7" fillId="9" borderId="14" xfId="18" applyNumberFormat="1" applyFont="1" applyFill="1" applyBorder="1" applyAlignment="1">
      <alignment horizontal="right" vertical="center"/>
    </xf>
    <xf numFmtId="0" fontId="35" fillId="0" borderId="14" xfId="0" applyFont="1" applyBorder="1" applyAlignment="1">
      <alignment horizontal="left" vertical="center" shrinkToFit="1"/>
    </xf>
    <xf numFmtId="177" fontId="7" fillId="5" borderId="9" xfId="0" applyNumberFormat="1" applyFont="1" applyFill="1" applyBorder="1" applyAlignment="1">
      <alignment horizontal="center" vertical="center" shrinkToFit="1"/>
    </xf>
    <xf numFmtId="0" fontId="34" fillId="0" borderId="46" xfId="0" applyFont="1" applyBorder="1" applyAlignment="1">
      <alignment vertical="center"/>
    </xf>
    <xf numFmtId="0" fontId="7" fillId="6" borderId="131" xfId="0" applyFont="1" applyFill="1" applyBorder="1" applyAlignment="1">
      <alignment vertical="center"/>
    </xf>
    <xf numFmtId="0" fontId="7" fillId="5" borderId="88" xfId="0" applyFont="1" applyFill="1" applyBorder="1" applyAlignment="1">
      <alignment vertical="center"/>
    </xf>
    <xf numFmtId="41" fontId="7" fillId="0" borderId="13" xfId="1" applyFont="1" applyFill="1" applyBorder="1" applyAlignment="1">
      <alignment horizontal="center" vertical="center"/>
    </xf>
    <xf numFmtId="41" fontId="7" fillId="6" borderId="13" xfId="1" applyFont="1" applyFill="1" applyBorder="1" applyAlignment="1">
      <alignment horizontal="center" vertical="center"/>
    </xf>
    <xf numFmtId="178" fontId="7" fillId="0" borderId="16" xfId="1" applyNumberFormat="1" applyFont="1" applyBorder="1" applyAlignment="1">
      <alignment horizontal="right" vertical="center" shrinkToFit="1"/>
    </xf>
    <xf numFmtId="188" fontId="7" fillId="6" borderId="152" xfId="1" applyNumberFormat="1" applyFont="1" applyFill="1" applyBorder="1" applyAlignment="1">
      <alignment horizontal="right" vertical="center" shrinkToFit="1"/>
    </xf>
    <xf numFmtId="188" fontId="7" fillId="5" borderId="15" xfId="1" applyNumberFormat="1" applyFont="1" applyFill="1" applyBorder="1" applyAlignment="1">
      <alignment horizontal="right" vertical="center" shrinkToFit="1"/>
    </xf>
    <xf numFmtId="188" fontId="7" fillId="0" borderId="8" xfId="1" applyNumberFormat="1" applyFont="1" applyBorder="1" applyAlignment="1">
      <alignment horizontal="right" vertical="center" shrinkToFit="1"/>
    </xf>
    <xf numFmtId="188" fontId="7" fillId="6" borderId="15" xfId="1" applyNumberFormat="1" applyFont="1" applyFill="1" applyBorder="1" applyAlignment="1">
      <alignment horizontal="right" vertical="center" shrinkToFit="1"/>
    </xf>
    <xf numFmtId="188" fontId="7" fillId="6" borderId="8" xfId="1" applyNumberFormat="1" applyFont="1" applyFill="1" applyBorder="1" applyAlignment="1">
      <alignment horizontal="right" vertical="center" shrinkToFit="1"/>
    </xf>
    <xf numFmtId="188" fontId="7" fillId="5" borderId="8" xfId="1" applyNumberFormat="1" applyFont="1" applyFill="1" applyBorder="1" applyAlignment="1">
      <alignment horizontal="right" vertical="center" shrinkToFit="1"/>
    </xf>
    <xf numFmtId="0" fontId="7" fillId="0" borderId="9" xfId="0" applyNumberFormat="1" applyFont="1" applyFill="1" applyBorder="1" applyAlignment="1">
      <alignment vertical="center" shrinkToFit="1"/>
    </xf>
    <xf numFmtId="0" fontId="7" fillId="5" borderId="9" xfId="0" applyNumberFormat="1" applyFont="1" applyFill="1" applyBorder="1" applyAlignment="1">
      <alignment horizontal="center" vertical="center"/>
    </xf>
    <xf numFmtId="0" fontId="35" fillId="0" borderId="74" xfId="0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3" fontId="7" fillId="0" borderId="51" xfId="1" applyNumberFormat="1" applyFont="1" applyBorder="1" applyAlignment="1">
      <alignment vertical="center" shrinkToFit="1"/>
    </xf>
    <xf numFmtId="3" fontId="7" fillId="0" borderId="153" xfId="1" applyNumberFormat="1" applyFont="1" applyBorder="1" applyAlignment="1">
      <alignment vertical="center" shrinkToFit="1"/>
    </xf>
    <xf numFmtId="176" fontId="7" fillId="6" borderId="154" xfId="1" applyNumberFormat="1" applyFont="1" applyFill="1" applyBorder="1" applyAlignment="1">
      <alignment horizontal="right" vertical="center" shrinkToFit="1"/>
    </xf>
    <xf numFmtId="176" fontId="7" fillId="6" borderId="155" xfId="1" applyNumberFormat="1" applyFont="1" applyFill="1" applyBorder="1" applyAlignment="1">
      <alignment horizontal="right" vertical="center" shrinkToFit="1"/>
    </xf>
    <xf numFmtId="176" fontId="7" fillId="5" borderId="90" xfId="1" applyNumberFormat="1" applyFont="1" applyFill="1" applyBorder="1" applyAlignment="1">
      <alignment horizontal="right" vertical="center" shrinkToFit="1"/>
    </xf>
    <xf numFmtId="176" fontId="7" fillId="0" borderId="33" xfId="1" applyNumberFormat="1" applyFont="1" applyFill="1" applyBorder="1" applyAlignment="1">
      <alignment horizontal="right" vertical="center" shrinkToFit="1"/>
    </xf>
    <xf numFmtId="176" fontId="7" fillId="5" borderId="33" xfId="1" applyNumberFormat="1" applyFont="1" applyFill="1" applyBorder="1" applyAlignment="1">
      <alignment horizontal="right" vertical="center" shrinkToFit="1"/>
    </xf>
    <xf numFmtId="176" fontId="7" fillId="6" borderId="33" xfId="1" applyNumberFormat="1" applyFont="1" applyFill="1" applyBorder="1" applyAlignment="1">
      <alignment horizontal="right" vertical="center" shrinkToFit="1"/>
    </xf>
    <xf numFmtId="176" fontId="7" fillId="6" borderId="14" xfId="1" applyNumberFormat="1" applyFont="1" applyFill="1" applyBorder="1" applyAlignment="1">
      <alignment horizontal="right" vertical="center" shrinkToFit="1"/>
    </xf>
    <xf numFmtId="176" fontId="7" fillId="0" borderId="33" xfId="0" applyNumberFormat="1" applyFont="1" applyFill="1" applyBorder="1" applyAlignment="1">
      <alignment vertical="center" shrinkToFit="1"/>
    </xf>
    <xf numFmtId="176" fontId="7" fillId="6" borderId="33" xfId="0" applyNumberFormat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center" vertical="center" shrinkToFit="1"/>
    </xf>
    <xf numFmtId="41" fontId="7" fillId="14" borderId="6" xfId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right" vertical="center" shrinkToFit="1"/>
    </xf>
    <xf numFmtId="188" fontId="7" fillId="14" borderId="8" xfId="1" applyNumberFormat="1" applyFont="1" applyFill="1" applyBorder="1" applyAlignment="1">
      <alignment horizontal="right" vertical="center" shrinkToFit="1"/>
    </xf>
    <xf numFmtId="176" fontId="7" fillId="14" borderId="13" xfId="1" applyNumberFormat="1" applyFont="1" applyFill="1" applyBorder="1" applyAlignment="1">
      <alignment horizontal="right" vertical="center" shrinkToFit="1"/>
    </xf>
    <xf numFmtId="176" fontId="7" fillId="14" borderId="8" xfId="1" applyNumberFormat="1" applyFont="1" applyFill="1" applyBorder="1" applyAlignment="1">
      <alignment horizontal="right" vertical="center" shrinkToFit="1"/>
    </xf>
    <xf numFmtId="176" fontId="7" fillId="14" borderId="33" xfId="1" applyNumberFormat="1" applyFont="1" applyFill="1" applyBorder="1" applyAlignment="1">
      <alignment horizontal="right" vertical="center" shrinkToFit="1"/>
    </xf>
    <xf numFmtId="0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vertical="center" shrinkToFit="1"/>
    </xf>
    <xf numFmtId="180" fontId="7" fillId="14" borderId="9" xfId="0" applyNumberFormat="1" applyFont="1" applyFill="1" applyBorder="1" applyAlignment="1">
      <alignment vertical="center" shrinkToFit="1"/>
    </xf>
    <xf numFmtId="181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/>
    </xf>
    <xf numFmtId="176" fontId="7" fillId="14" borderId="6" xfId="1" applyNumberFormat="1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vertical="center" shrinkToFit="1"/>
    </xf>
    <xf numFmtId="182" fontId="7" fillId="22" borderId="9" xfId="0" applyNumberFormat="1" applyFont="1" applyFill="1" applyBorder="1" applyAlignment="1">
      <alignment vertical="center" shrinkToFit="1"/>
    </xf>
    <xf numFmtId="180" fontId="7" fillId="22" borderId="9" xfId="0" applyNumberFormat="1" applyFont="1" applyFill="1" applyBorder="1" applyAlignment="1">
      <alignment vertical="center" shrinkToFit="1"/>
    </xf>
    <xf numFmtId="181" fontId="7" fillId="22" borderId="9" xfId="0" applyNumberFormat="1" applyFont="1" applyFill="1" applyBorder="1" applyAlignment="1">
      <alignment vertical="center" shrinkToFit="1"/>
    </xf>
    <xf numFmtId="189" fontId="7" fillId="22" borderId="14" xfId="0" applyNumberFormat="1" applyFont="1" applyFill="1" applyBorder="1" applyAlignment="1">
      <alignment vertical="center" shrinkToFit="1"/>
    </xf>
    <xf numFmtId="189" fontId="61" fillId="22" borderId="14" xfId="11" applyNumberFormat="1" applyFont="1" applyFill="1" applyBorder="1" applyAlignment="1">
      <alignment horizontal="right" vertical="center"/>
    </xf>
    <xf numFmtId="176" fontId="7" fillId="0" borderId="46" xfId="1" applyNumberFormat="1" applyFont="1" applyBorder="1" applyAlignment="1">
      <alignment horizontal="center" vertical="center"/>
    </xf>
    <xf numFmtId="0" fontId="7" fillId="6" borderId="131" xfId="1" applyNumberFormat="1" applyFont="1" applyFill="1" applyBorder="1" applyAlignment="1">
      <alignment horizontal="center" vertical="center"/>
    </xf>
    <xf numFmtId="0" fontId="7" fillId="5" borderId="88" xfId="1" applyNumberFormat="1" applyFont="1" applyFill="1" applyBorder="1" applyAlignment="1">
      <alignment horizontal="center" vertical="center"/>
    </xf>
    <xf numFmtId="177" fontId="7" fillId="5" borderId="9" xfId="0" applyNumberFormat="1" applyFont="1" applyFill="1" applyBorder="1" applyAlignment="1">
      <alignment vertical="center" shrinkToFit="1"/>
    </xf>
    <xf numFmtId="0" fontId="7" fillId="5" borderId="9" xfId="0" applyFont="1" applyFill="1" applyBorder="1" applyAlignment="1">
      <alignment horizontal="center" vertical="center" shrinkToFit="1"/>
    </xf>
    <xf numFmtId="188" fontId="7" fillId="0" borderId="15" xfId="1" applyNumberFormat="1" applyFont="1" applyFill="1" applyBorder="1" applyAlignment="1">
      <alignment horizontal="right" vertical="center" shrinkToFit="1"/>
    </xf>
    <xf numFmtId="41" fontId="34" fillId="0" borderId="0" xfId="1" applyFont="1" applyFill="1" applyBorder="1" applyAlignment="1">
      <alignment vertical="center"/>
    </xf>
    <xf numFmtId="189" fontId="7" fillId="0" borderId="14" xfId="1" applyNumberFormat="1" applyFont="1" applyBorder="1" applyAlignment="1">
      <alignment vertical="center" shrinkToFit="1"/>
    </xf>
    <xf numFmtId="193" fontId="61" fillId="0" borderId="9" xfId="22" applyNumberFormat="1" applyFont="1" applyFill="1" applyBorder="1" applyAlignment="1">
      <alignment horizontal="center" vertical="center"/>
    </xf>
    <xf numFmtId="188" fontId="7" fillId="0" borderId="15" xfId="1" applyNumberFormat="1" applyFont="1" applyBorder="1" applyAlignment="1">
      <alignment horizontal="right" vertical="center" shrinkToFit="1"/>
    </xf>
    <xf numFmtId="188" fontId="7" fillId="0" borderId="71" xfId="1" applyNumberFormat="1" applyFont="1" applyBorder="1" applyAlignment="1">
      <alignment horizontal="right" vertical="center" shrinkToFit="1"/>
    </xf>
    <xf numFmtId="0" fontId="7" fillId="14" borderId="81" xfId="0" applyNumberFormat="1" applyFont="1" applyFill="1" applyBorder="1" applyAlignment="1">
      <alignment vertical="center" shrinkToFit="1"/>
    </xf>
    <xf numFmtId="0" fontId="61" fillId="14" borderId="9" xfId="22" applyFont="1" applyFill="1" applyBorder="1" applyAlignment="1">
      <alignment horizontal="center" vertical="center"/>
    </xf>
    <xf numFmtId="41" fontId="39" fillId="14" borderId="6" xfId="1" applyFont="1" applyFill="1" applyBorder="1" applyAlignment="1">
      <alignment horizontal="center" vertical="center" shrinkToFit="1"/>
    </xf>
    <xf numFmtId="183" fontId="7" fillId="14" borderId="9" xfId="0" applyNumberFormat="1" applyFont="1" applyFill="1" applyBorder="1" applyAlignment="1">
      <alignment vertical="center" shrinkToFit="1"/>
    </xf>
    <xf numFmtId="3" fontId="7" fillId="14" borderId="9" xfId="1" applyNumberFormat="1" applyFont="1" applyFill="1" applyBorder="1" applyAlignment="1">
      <alignment vertical="center" shrinkToFit="1"/>
    </xf>
    <xf numFmtId="0" fontId="7" fillId="6" borderId="9" xfId="0" applyNumberFormat="1" applyFont="1" applyFill="1" applyBorder="1" applyAlignment="1">
      <alignment horizontal="center"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3" fontId="7" fillId="5" borderId="9" xfId="2" applyNumberFormat="1" applyFont="1" applyFill="1" applyBorder="1" applyAlignment="1">
      <alignment horizontal="center" vertical="center" shrinkToFit="1"/>
    </xf>
    <xf numFmtId="176" fontId="7" fillId="14" borderId="13" xfId="0" applyNumberFormat="1" applyFont="1" applyFill="1" applyBorder="1" applyAlignment="1">
      <alignment vertical="center" shrinkToFit="1"/>
    </xf>
    <xf numFmtId="176" fontId="7" fillId="14" borderId="6" xfId="0" applyNumberFormat="1" applyFont="1" applyFill="1" applyBorder="1" applyAlignment="1">
      <alignment vertical="center" shrinkToFit="1"/>
    </xf>
    <xf numFmtId="176" fontId="7" fillId="14" borderId="33" xfId="0" applyNumberFormat="1" applyFont="1" applyFill="1" applyBorder="1" applyAlignment="1">
      <alignment vertical="center" shrinkToFit="1"/>
    </xf>
    <xf numFmtId="3" fontId="7" fillId="14" borderId="21" xfId="11" applyNumberFormat="1" applyFont="1" applyFill="1" applyBorder="1" applyAlignment="1">
      <alignment vertical="center" shrinkToFit="1"/>
    </xf>
    <xf numFmtId="0" fontId="7" fillId="14" borderId="21" xfId="0" applyFont="1" applyFill="1" applyBorder="1" applyAlignment="1">
      <alignment vertical="center" shrinkToFit="1"/>
    </xf>
    <xf numFmtId="41" fontId="7" fillId="14" borderId="6" xfId="1" applyFont="1" applyFill="1" applyBorder="1" applyAlignment="1">
      <alignment vertical="center"/>
    </xf>
    <xf numFmtId="41" fontId="7" fillId="14" borderId="9" xfId="0" applyNumberFormat="1" applyFont="1" applyFill="1" applyBorder="1" applyAlignment="1">
      <alignment horizontal="left" vertical="center" shrinkToFit="1"/>
    </xf>
    <xf numFmtId="41" fontId="7" fillId="14" borderId="9" xfId="1" applyFont="1" applyFill="1" applyBorder="1" applyAlignment="1">
      <alignment vertical="center"/>
    </xf>
    <xf numFmtId="189" fontId="63" fillId="14" borderId="14" xfId="0" applyNumberFormat="1" applyFont="1" applyFill="1" applyBorder="1" applyAlignment="1">
      <alignment vertical="center" shrinkToFit="1"/>
    </xf>
    <xf numFmtId="189" fontId="63" fillId="5" borderId="14" xfId="1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/>
    </xf>
    <xf numFmtId="189" fontId="63" fillId="5" borderId="138" xfId="0" applyNumberFormat="1" applyFont="1" applyFill="1" applyBorder="1" applyAlignment="1">
      <alignment vertical="center"/>
    </xf>
    <xf numFmtId="189" fontId="63" fillId="6" borderId="65" xfId="0" applyNumberFormat="1" applyFont="1" applyFill="1" applyBorder="1" applyAlignment="1">
      <alignment vertical="center"/>
    </xf>
    <xf numFmtId="189" fontId="64" fillId="0" borderId="45" xfId="0" applyNumberFormat="1" applyFont="1" applyBorder="1" applyAlignment="1">
      <alignment vertical="center"/>
    </xf>
    <xf numFmtId="0" fontId="7" fillId="6" borderId="0" xfId="1" applyNumberFormat="1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89" fontId="63" fillId="6" borderId="156" xfId="0" applyNumberFormat="1" applyFont="1" applyFill="1" applyBorder="1" applyAlignment="1">
      <alignment vertical="center"/>
    </xf>
    <xf numFmtId="0" fontId="61" fillId="0" borderId="85" xfId="22" applyFont="1" applyFill="1" applyBorder="1" applyAlignment="1">
      <alignment horizontal="center" vertical="center"/>
    </xf>
    <xf numFmtId="193" fontId="61" fillId="0" borderId="85" xfId="22" applyNumberFormat="1" applyFont="1" applyFill="1" applyBorder="1" applyAlignment="1">
      <alignment horizontal="center" vertical="center"/>
    </xf>
    <xf numFmtId="49" fontId="61" fillId="0" borderId="85" xfId="22" applyNumberFormat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shrinkToFit="1"/>
    </xf>
    <xf numFmtId="176" fontId="34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 shrinkToFit="1"/>
    </xf>
    <xf numFmtId="0" fontId="34" fillId="0" borderId="82" xfId="0" applyFont="1" applyBorder="1" applyAlignment="1">
      <alignment horizontal="center" vertical="center"/>
    </xf>
    <xf numFmtId="0" fontId="34" fillId="0" borderId="83" xfId="0" applyFont="1" applyBorder="1" applyAlignment="1">
      <alignment horizontal="center" vertical="center" shrinkToFit="1"/>
    </xf>
    <xf numFmtId="176" fontId="34" fillId="0" borderId="83" xfId="0" applyNumberFormat="1" applyFont="1" applyBorder="1" applyAlignment="1">
      <alignment horizontal="center" vertical="center"/>
    </xf>
    <xf numFmtId="0" fontId="7" fillId="0" borderId="83" xfId="0" applyFont="1" applyBorder="1" applyAlignment="1">
      <alignment vertical="center"/>
    </xf>
    <xf numFmtId="176" fontId="7" fillId="0" borderId="83" xfId="0" applyNumberFormat="1" applyFont="1" applyBorder="1" applyAlignment="1">
      <alignment horizontal="right" vertical="center"/>
    </xf>
    <xf numFmtId="176" fontId="7" fillId="0" borderId="68" xfId="0" applyNumberFormat="1" applyFont="1" applyBorder="1" applyAlignment="1">
      <alignment vertical="center" shrinkToFit="1"/>
    </xf>
    <xf numFmtId="176" fontId="7" fillId="0" borderId="84" xfId="0" applyNumberFormat="1" applyFont="1" applyBorder="1" applyAlignment="1">
      <alignment vertical="center" shrinkToFit="1"/>
    </xf>
    <xf numFmtId="176" fontId="7" fillId="0" borderId="82" xfId="0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/>
    </xf>
    <xf numFmtId="0" fontId="34" fillId="0" borderId="2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176" fontId="34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20" xfId="0" applyNumberFormat="1" applyFont="1" applyFill="1" applyBorder="1" applyAlignment="1">
      <alignment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71" xfId="0" applyNumberFormat="1" applyFont="1" applyFill="1" applyBorder="1" applyAlignment="1">
      <alignment vertical="center" shrinkToFit="1"/>
    </xf>
    <xf numFmtId="0" fontId="7" fillId="14" borderId="9" xfId="0" applyNumberFormat="1" applyFont="1" applyFill="1" applyBorder="1" applyAlignment="1">
      <alignment horizontal="left" vertical="center"/>
    </xf>
    <xf numFmtId="176" fontId="7" fillId="0" borderId="81" xfId="0" applyNumberFormat="1" applyFont="1" applyFill="1" applyBorder="1" applyAlignment="1">
      <alignment vertical="center" shrinkToFit="1"/>
    </xf>
    <xf numFmtId="193" fontId="61" fillId="14" borderId="9" xfId="22" applyNumberFormat="1" applyFont="1" applyFill="1" applyBorder="1" applyAlignment="1">
      <alignment horizontal="center" vertical="center"/>
    </xf>
    <xf numFmtId="49" fontId="61" fillId="14" borderId="9" xfId="22" applyNumberFormat="1" applyFont="1" applyFill="1" applyBorder="1" applyAlignment="1">
      <alignment horizontal="center" vertical="center"/>
    </xf>
    <xf numFmtId="189" fontId="7" fillId="0" borderId="24" xfId="1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 shrinkToFit="1"/>
    </xf>
    <xf numFmtId="3" fontId="34" fillId="0" borderId="0" xfId="0" applyNumberFormat="1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6" borderId="6" xfId="0" applyFont="1" applyFill="1" applyBorder="1" applyAlignment="1">
      <alignment horizontal="center" vertical="center" shrinkToFit="1"/>
    </xf>
    <xf numFmtId="41" fontId="47" fillId="17" borderId="70" xfId="0" applyNumberFormat="1" applyFont="1" applyFill="1" applyBorder="1" applyAlignment="1">
      <alignment vertical="center"/>
    </xf>
    <xf numFmtId="41" fontId="7" fillId="0" borderId="102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 shrinkToFit="1"/>
    </xf>
    <xf numFmtId="41" fontId="7" fillId="7" borderId="5" xfId="1" applyFont="1" applyFill="1" applyBorder="1" applyAlignment="1">
      <alignment vertical="center"/>
    </xf>
    <xf numFmtId="41" fontId="7" fillId="7" borderId="5" xfId="1" applyFont="1" applyFill="1" applyBorder="1" applyAlignment="1">
      <alignment vertical="center" shrinkToFit="1"/>
    </xf>
    <xf numFmtId="190" fontId="35" fillId="7" borderId="71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Border="1" applyAlignment="1">
      <alignment vertical="center"/>
    </xf>
    <xf numFmtId="4" fontId="35" fillId="0" borderId="6" xfId="1" applyNumberFormat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center" vertical="center" wrapText="1" shrinkToFit="1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47" fillId="0" borderId="6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7" xfId="0" applyFont="1" applyBorder="1" applyAlignment="1">
      <alignment vertical="center" wrapText="1" shrinkToFit="1"/>
    </xf>
    <xf numFmtId="186" fontId="47" fillId="0" borderId="67" xfId="0" applyNumberFormat="1" applyFont="1" applyBorder="1" applyAlignment="1">
      <alignment horizontal="center" vertical="center" shrinkToFit="1"/>
    </xf>
    <xf numFmtId="186" fontId="47" fillId="6" borderId="67" xfId="0" applyNumberFormat="1" applyFont="1" applyFill="1" applyBorder="1" applyAlignment="1">
      <alignment horizontal="center" vertical="center" shrinkToFit="1"/>
    </xf>
    <xf numFmtId="186" fontId="47" fillId="7" borderId="67" xfId="0" applyNumberFormat="1" applyFont="1" applyFill="1" applyBorder="1" applyAlignment="1">
      <alignment horizontal="center" vertical="center" shrinkToFit="1"/>
    </xf>
    <xf numFmtId="0" fontId="47" fillId="0" borderId="67" xfId="0" applyFont="1" applyBorder="1" applyAlignment="1">
      <alignment vertical="center"/>
    </xf>
    <xf numFmtId="186" fontId="7" fillId="0" borderId="67" xfId="0" applyNumberFormat="1" applyFont="1" applyBorder="1" applyAlignment="1">
      <alignment horizontal="left" vertical="center" wrapText="1" shrinkToFit="1"/>
    </xf>
    <xf numFmtId="185" fontId="49" fillId="0" borderId="158" xfId="0" applyNumberFormat="1" applyFont="1" applyBorder="1" applyAlignment="1">
      <alignment horizontal="center" vertical="center" shrinkToFit="1"/>
    </xf>
    <xf numFmtId="186" fontId="50" fillId="6" borderId="159" xfId="0" applyNumberFormat="1" applyFont="1" applyFill="1" applyBorder="1" applyAlignment="1">
      <alignment horizontal="center" vertical="center" shrinkToFit="1"/>
    </xf>
    <xf numFmtId="186" fontId="47" fillId="7" borderId="157" xfId="0" applyNumberFormat="1" applyFont="1" applyFill="1" applyBorder="1" applyAlignment="1">
      <alignment horizontal="center" vertical="center" shrinkToFit="1"/>
    </xf>
    <xf numFmtId="186" fontId="7" fillId="0" borderId="157" xfId="0" applyNumberFormat="1" applyFont="1" applyBorder="1" applyAlignment="1">
      <alignment horizontal="left" vertical="center" wrapText="1" shrinkToFit="1"/>
    </xf>
    <xf numFmtId="186" fontId="47" fillId="6" borderId="157" xfId="0" applyNumberFormat="1" applyFont="1" applyFill="1" applyBorder="1" applyAlignment="1">
      <alignment horizontal="center" vertical="center" shrinkToFit="1"/>
    </xf>
    <xf numFmtId="186" fontId="47" fillId="0" borderId="157" xfId="0" applyNumberFormat="1" applyFont="1" applyBorder="1" applyAlignment="1">
      <alignment horizontal="center" vertical="center" shrinkToFit="1"/>
    </xf>
    <xf numFmtId="0" fontId="47" fillId="0" borderId="13" xfId="0" applyFont="1" applyBorder="1" applyAlignment="1">
      <alignment vertical="center"/>
    </xf>
    <xf numFmtId="186" fontId="47" fillId="0" borderId="160" xfId="0" applyNumberFormat="1" applyFont="1" applyBorder="1" applyAlignment="1">
      <alignment horizontal="center"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7" fillId="0" borderId="9" xfId="1" applyFont="1" applyBorder="1" applyAlignment="1">
      <alignment vertical="center" shrinkToFit="1"/>
    </xf>
    <xf numFmtId="41" fontId="47" fillId="23" borderId="70" xfId="0" applyNumberFormat="1" applyFont="1" applyFill="1" applyBorder="1" applyAlignment="1">
      <alignment horizontal="center" vertical="center"/>
    </xf>
    <xf numFmtId="41" fontId="66" fillId="23" borderId="70" xfId="0" applyNumberFormat="1" applyFont="1" applyFill="1" applyBorder="1" applyAlignment="1">
      <alignment horizontal="center" vertical="center"/>
    </xf>
    <xf numFmtId="41" fontId="59" fillId="23" borderId="70" xfId="0" applyNumberFormat="1" applyFont="1" applyFill="1" applyBorder="1" applyAlignment="1">
      <alignment vertical="center"/>
    </xf>
    <xf numFmtId="41" fontId="47" fillId="23" borderId="70" xfId="0" applyNumberFormat="1" applyFont="1" applyFill="1" applyBorder="1" applyAlignment="1">
      <alignment vertical="center"/>
    </xf>
    <xf numFmtId="0" fontId="34" fillId="0" borderId="1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shrinkToFit="1"/>
    </xf>
    <xf numFmtId="176" fontId="3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86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176" fontId="7" fillId="0" borderId="3" xfId="0" applyNumberFormat="1" applyFont="1" applyBorder="1" applyAlignment="1">
      <alignment vertical="center" shrinkToFit="1"/>
    </xf>
    <xf numFmtId="176" fontId="7" fillId="0" borderId="36" xfId="0" applyNumberFormat="1" applyFont="1" applyBorder="1" applyAlignment="1">
      <alignment vertical="center" shrinkToFit="1"/>
    </xf>
    <xf numFmtId="41" fontId="34" fillId="0" borderId="95" xfId="1" applyFont="1" applyBorder="1" applyAlignment="1">
      <alignment vertical="center"/>
    </xf>
    <xf numFmtId="41" fontId="34" fillId="0" borderId="80" xfId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41" fontId="34" fillId="0" borderId="0" xfId="0" applyNumberFormat="1" applyFont="1" applyBorder="1" applyAlignment="1">
      <alignment horizontal="center" vertical="center"/>
    </xf>
    <xf numFmtId="176" fontId="47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/>
    </xf>
    <xf numFmtId="3" fontId="34" fillId="0" borderId="0" xfId="0" applyNumberFormat="1" applyFont="1" applyAlignment="1">
      <alignment vertical="center"/>
    </xf>
    <xf numFmtId="190" fontId="68" fillId="0" borderId="6" xfId="0" applyNumberFormat="1" applyFont="1" applyBorder="1" applyAlignment="1">
      <alignment horizontal="center" vertical="center" shrinkToFit="1"/>
    </xf>
    <xf numFmtId="4" fontId="35" fillId="0" borderId="30" xfId="0" applyNumberFormat="1" applyFont="1" applyBorder="1" applyAlignment="1">
      <alignment horizontal="right" vertical="center"/>
    </xf>
    <xf numFmtId="190" fontId="35" fillId="0" borderId="157" xfId="0" applyNumberFormat="1" applyFont="1" applyBorder="1" applyAlignment="1">
      <alignment horizontal="right" vertical="center" shrinkToFit="1"/>
    </xf>
    <xf numFmtId="190" fontId="35" fillId="6" borderId="26" xfId="0" applyNumberFormat="1" applyFont="1" applyFill="1" applyBorder="1" applyAlignment="1">
      <alignment horizontal="right" vertical="center" shrinkToFit="1"/>
    </xf>
    <xf numFmtId="190" fontId="35" fillId="7" borderId="30" xfId="0" applyNumberFormat="1" applyFont="1" applyFill="1" applyBorder="1" applyAlignment="1">
      <alignment horizontal="right" vertical="center" shrinkToFit="1"/>
    </xf>
    <xf numFmtId="186" fontId="35" fillId="0" borderId="157" xfId="0" applyNumberFormat="1" applyFont="1" applyBorder="1" applyAlignment="1">
      <alignment horizontal="right" vertical="center" shrinkToFit="1"/>
    </xf>
    <xf numFmtId="186" fontId="35" fillId="0" borderId="160" xfId="0" applyNumberFormat="1" applyFont="1" applyBorder="1" applyAlignment="1">
      <alignment horizontal="right" vertical="center" shrinkToFit="1"/>
    </xf>
    <xf numFmtId="190" fontId="38" fillId="6" borderId="118" xfId="0" applyNumberFormat="1" applyFont="1" applyFill="1" applyBorder="1" applyAlignment="1">
      <alignment horizontal="right" vertical="center" shrinkToFit="1"/>
    </xf>
    <xf numFmtId="190" fontId="35" fillId="0" borderId="30" xfId="0" applyNumberFormat="1" applyFont="1" applyBorder="1" applyAlignment="1">
      <alignment horizontal="right" vertical="center" shrinkToFit="1"/>
    </xf>
    <xf numFmtId="186" fontId="35" fillId="6" borderId="26" xfId="0" applyNumberFormat="1" applyFont="1" applyFill="1" applyBorder="1" applyAlignment="1">
      <alignment horizontal="right" vertical="center" shrinkToFit="1"/>
    </xf>
    <xf numFmtId="186" fontId="35" fillId="7" borderId="30" xfId="0" applyNumberFormat="1" applyFont="1" applyFill="1" applyBorder="1" applyAlignment="1">
      <alignment horizontal="right" vertical="center" shrinkToFit="1"/>
    </xf>
    <xf numFmtId="186" fontId="35" fillId="0" borderId="30" xfId="0" applyNumberFormat="1" applyFont="1" applyBorder="1" applyAlignment="1">
      <alignment horizontal="right" vertical="center" shrinkToFit="1"/>
    </xf>
    <xf numFmtId="4" fontId="35" fillId="0" borderId="30" xfId="1" applyNumberFormat="1" applyFont="1" applyFill="1" applyBorder="1" applyAlignment="1">
      <alignment horizontal="right" vertical="center" shrinkToFit="1"/>
    </xf>
    <xf numFmtId="4" fontId="35" fillId="0" borderId="30" xfId="1" applyNumberFormat="1" applyFont="1" applyBorder="1" applyAlignment="1">
      <alignment horizontal="right" vertical="center" shrinkToFit="1"/>
    </xf>
    <xf numFmtId="188" fontId="7" fillId="0" borderId="83" xfId="1" applyNumberFormat="1" applyFont="1" applyFill="1" applyBorder="1" applyAlignment="1">
      <alignment horizontal="right" vertical="center" shrinkToFit="1"/>
    </xf>
    <xf numFmtId="190" fontId="35" fillId="0" borderId="25" xfId="0" applyNumberFormat="1" applyFont="1" applyBorder="1" applyAlignment="1">
      <alignment horizontal="right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34" fillId="0" borderId="105" xfId="0" applyNumberFormat="1" applyFont="1" applyBorder="1" applyAlignment="1">
      <alignment horizontal="right" vertical="center"/>
    </xf>
    <xf numFmtId="176" fontId="7" fillId="0" borderId="156" xfId="0" applyNumberFormat="1" applyFont="1" applyBorder="1" applyAlignment="1">
      <alignment vertical="center"/>
    </xf>
    <xf numFmtId="41" fontId="34" fillId="0" borderId="105" xfId="0" applyNumberFormat="1" applyFont="1" applyBorder="1" applyAlignment="1">
      <alignment horizontal="center" vertical="center"/>
    </xf>
    <xf numFmtId="176" fontId="34" fillId="0" borderId="161" xfId="0" applyNumberFormat="1" applyFont="1" applyBorder="1" applyAlignment="1">
      <alignment horizontal="right" vertical="center"/>
    </xf>
    <xf numFmtId="176" fontId="7" fillId="0" borderId="140" xfId="0" applyNumberFormat="1" applyFont="1" applyBorder="1" applyAlignment="1">
      <alignment vertical="center"/>
    </xf>
    <xf numFmtId="0" fontId="34" fillId="0" borderId="5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3" fontId="7" fillId="0" borderId="95" xfId="0" applyNumberFormat="1" applyFont="1" applyBorder="1" applyAlignment="1">
      <alignment vertical="center"/>
    </xf>
    <xf numFmtId="176" fontId="7" fillId="0" borderId="95" xfId="0" applyNumberFormat="1" applyFont="1" applyBorder="1" applyAlignment="1">
      <alignment vertical="center"/>
    </xf>
    <xf numFmtId="176" fontId="7" fillId="0" borderId="80" xfId="0" applyNumberFormat="1" applyFont="1" applyBorder="1" applyAlignment="1">
      <alignment vertical="center"/>
    </xf>
    <xf numFmtId="176" fontId="34" fillId="0" borderId="70" xfId="0" applyNumberFormat="1" applyFont="1" applyBorder="1" applyAlignment="1">
      <alignment horizontal="center" vertical="center"/>
    </xf>
    <xf numFmtId="41" fontId="7" fillId="0" borderId="95" xfId="0" applyNumberFormat="1" applyFont="1" applyBorder="1" applyAlignment="1">
      <alignment horizontal="right" vertical="center"/>
    </xf>
    <xf numFmtId="176" fontId="34" fillId="0" borderId="95" xfId="0" applyNumberFormat="1" applyFont="1" applyBorder="1" applyAlignment="1">
      <alignment horizontal="right" vertical="center"/>
    </xf>
    <xf numFmtId="176" fontId="34" fillId="0" borderId="80" xfId="0" applyNumberFormat="1" applyFont="1" applyBorder="1" applyAlignment="1">
      <alignment horizontal="right" vertical="center"/>
    </xf>
    <xf numFmtId="0" fontId="7" fillId="0" borderId="33" xfId="0" applyFont="1" applyBorder="1" applyAlignment="1">
      <alignment vertical="center" wrapText="1" shrinkToFit="1"/>
    </xf>
    <xf numFmtId="176" fontId="7" fillId="0" borderId="33" xfId="0" applyNumberFormat="1" applyFont="1" applyBorder="1" applyAlignment="1">
      <alignment vertical="center" wrapText="1" shrinkToFit="1"/>
    </xf>
    <xf numFmtId="0" fontId="35" fillId="0" borderId="14" xfId="0" applyFont="1" applyBorder="1" applyAlignment="1">
      <alignment horizontal="left" vertical="center" shrinkToFit="1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35" fillId="12" borderId="6" xfId="0" applyFont="1" applyFill="1" applyBorder="1" applyAlignment="1">
      <alignment horizontal="center" vertical="center" shrinkToFit="1"/>
    </xf>
    <xf numFmtId="176" fontId="35" fillId="12" borderId="6" xfId="0" applyNumberFormat="1" applyFont="1" applyFill="1" applyBorder="1" applyAlignment="1">
      <alignment vertical="center" shrinkToFit="1"/>
    </xf>
    <xf numFmtId="41" fontId="35" fillId="12" borderId="6" xfId="1" applyFont="1" applyFill="1" applyBorder="1" applyAlignment="1">
      <alignment horizontal="right" vertical="center" shrinkToFit="1"/>
    </xf>
    <xf numFmtId="4" fontId="35" fillId="12" borderId="6" xfId="1" applyNumberFormat="1" applyFont="1" applyFill="1" applyBorder="1" applyAlignment="1">
      <alignment horizontal="right" vertical="center" shrinkToFit="1"/>
    </xf>
    <xf numFmtId="0" fontId="35" fillId="0" borderId="6" xfId="0" applyFont="1" applyFill="1" applyBorder="1" applyAlignment="1">
      <alignment horizontal="center" vertical="center"/>
    </xf>
    <xf numFmtId="179" fontId="7" fillId="12" borderId="6" xfId="0" applyNumberFormat="1" applyFont="1" applyFill="1" applyBorder="1" applyAlignment="1">
      <alignment vertical="center"/>
    </xf>
    <xf numFmtId="176" fontId="69" fillId="12" borderId="0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justify"/>
    </xf>
    <xf numFmtId="0" fontId="61" fillId="0" borderId="25" xfId="22" applyFont="1" applyFill="1" applyBorder="1" applyAlignment="1">
      <alignment horizontal="center" vertical="center"/>
    </xf>
    <xf numFmtId="193" fontId="61" fillId="0" borderId="25" xfId="22" applyNumberFormat="1" applyFont="1" applyFill="1" applyBorder="1" applyAlignment="1">
      <alignment horizontal="center" vertical="center"/>
    </xf>
    <xf numFmtId="49" fontId="61" fillId="0" borderId="25" xfId="22" applyNumberFormat="1" applyFont="1" applyFill="1" applyBorder="1" applyAlignment="1">
      <alignment horizontal="center" vertical="center"/>
    </xf>
    <xf numFmtId="189" fontId="7" fillId="0" borderId="35" xfId="1" applyNumberFormat="1" applyFont="1" applyBorder="1" applyAlignment="1">
      <alignment vertical="center" shrinkToFit="1"/>
    </xf>
    <xf numFmtId="194" fontId="61" fillId="0" borderId="9" xfId="22" applyNumberFormat="1" applyFont="1" applyFill="1" applyBorder="1" applyAlignment="1">
      <alignment horizontal="center" vertical="center"/>
    </xf>
    <xf numFmtId="0" fontId="7" fillId="0" borderId="85" xfId="0" applyNumberFormat="1" applyFont="1" applyFill="1" applyBorder="1" applyAlignment="1">
      <alignment horizontal="center" vertical="center" shrinkToFit="1"/>
    </xf>
    <xf numFmtId="41" fontId="7" fillId="0" borderId="85" xfId="0" applyNumberFormat="1" applyFont="1" applyBorder="1" applyAlignment="1">
      <alignment vertical="center" shrinkToFit="1"/>
    </xf>
    <xf numFmtId="191" fontId="61" fillId="0" borderId="85" xfId="22" quotePrefix="1" applyNumberFormat="1" applyFont="1" applyFill="1" applyBorder="1" applyAlignment="1">
      <alignment horizontal="right" vertical="center" shrinkToFit="1"/>
    </xf>
    <xf numFmtId="194" fontId="61" fillId="0" borderId="85" xfId="22" applyNumberFormat="1" applyFont="1" applyFill="1" applyBorder="1" applyAlignment="1">
      <alignment horizontal="center" vertical="center"/>
    </xf>
    <xf numFmtId="189" fontId="61" fillId="0" borderId="24" xfId="11" applyNumberFormat="1" applyFont="1" applyFill="1" applyBorder="1" applyAlignment="1">
      <alignment horizontal="right" vertical="center"/>
    </xf>
    <xf numFmtId="0" fontId="7" fillId="0" borderId="25" xfId="0" applyNumberFormat="1" applyFont="1" applyFill="1" applyBorder="1" applyAlignment="1">
      <alignment horizontal="center" vertical="center" shrinkToFit="1"/>
    </xf>
    <xf numFmtId="0" fontId="47" fillId="0" borderId="25" xfId="0" applyNumberFormat="1" applyFont="1" applyFill="1" applyBorder="1" applyAlignment="1">
      <alignment horizontal="center" vertical="center" shrinkToFit="1"/>
    </xf>
    <xf numFmtId="41" fontId="7" fillId="0" borderId="25" xfId="0" applyNumberFormat="1" applyFont="1" applyBorder="1" applyAlignment="1">
      <alignment vertical="center" shrinkToFit="1"/>
    </xf>
    <xf numFmtId="191" fontId="61" fillId="0" borderId="25" xfId="22" quotePrefix="1" applyNumberFormat="1" applyFont="1" applyFill="1" applyBorder="1" applyAlignment="1">
      <alignment horizontal="right" vertical="center" shrinkToFit="1"/>
    </xf>
    <xf numFmtId="189" fontId="61" fillId="0" borderId="35" xfId="11" applyNumberFormat="1" applyFont="1" applyFill="1" applyBorder="1" applyAlignment="1">
      <alignment horizontal="right" vertical="center"/>
    </xf>
    <xf numFmtId="0" fontId="47" fillId="0" borderId="85" xfId="0" applyNumberFormat="1" applyFont="1" applyFill="1" applyBorder="1" applyAlignment="1">
      <alignment horizontal="center" vertical="center" shrinkToFit="1"/>
    </xf>
    <xf numFmtId="194" fontId="61" fillId="0" borderId="25" xfId="22" applyNumberFormat="1" applyFont="1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4" fillId="0" borderId="164" xfId="0" applyFont="1" applyBorder="1" applyAlignment="1">
      <alignment horizontal="right" vertical="center"/>
    </xf>
    <xf numFmtId="41" fontId="34" fillId="0" borderId="164" xfId="1" applyFont="1" applyBorder="1" applyAlignment="1">
      <alignment horizontal="right" vertical="center"/>
    </xf>
    <xf numFmtId="41" fontId="34" fillId="0" borderId="165" xfId="1" applyFont="1" applyBorder="1" applyAlignment="1">
      <alignment horizontal="right" vertical="center"/>
    </xf>
    <xf numFmtId="0" fontId="34" fillId="14" borderId="167" xfId="0" applyFont="1" applyFill="1" applyBorder="1" applyAlignment="1">
      <alignment horizontal="right" vertical="center"/>
    </xf>
    <xf numFmtId="41" fontId="34" fillId="14" borderId="168" xfId="1" applyFont="1" applyFill="1" applyBorder="1" applyAlignment="1">
      <alignment vertical="center"/>
    </xf>
    <xf numFmtId="41" fontId="34" fillId="14" borderId="169" xfId="1" applyFont="1" applyFill="1" applyBorder="1" applyAlignment="1">
      <alignment vertical="center"/>
    </xf>
    <xf numFmtId="41" fontId="34" fillId="14" borderId="170" xfId="1" applyFont="1" applyFill="1" applyBorder="1" applyAlignment="1">
      <alignment vertical="center"/>
    </xf>
    <xf numFmtId="179" fontId="34" fillId="23" borderId="162" xfId="0" applyNumberFormat="1" applyFont="1" applyFill="1" applyBorder="1" applyAlignment="1">
      <alignment horizontal="right" vertical="center"/>
    </xf>
    <xf numFmtId="41" fontId="34" fillId="0" borderId="171" xfId="1" applyFont="1" applyBorder="1" applyAlignment="1">
      <alignment vertical="center"/>
    </xf>
    <xf numFmtId="41" fontId="34" fillId="5" borderId="172" xfId="0" applyNumberFormat="1" applyFont="1" applyFill="1" applyBorder="1" applyAlignment="1">
      <alignment vertical="center"/>
    </xf>
    <xf numFmtId="41" fontId="34" fillId="5" borderId="173" xfId="1" applyFont="1" applyFill="1" applyBorder="1" applyAlignment="1">
      <alignment vertical="center"/>
    </xf>
    <xf numFmtId="41" fontId="34" fillId="5" borderId="174" xfId="1" applyFont="1" applyFill="1" applyBorder="1" applyAlignment="1">
      <alignment vertical="center"/>
    </xf>
    <xf numFmtId="41" fontId="49" fillId="0" borderId="0" xfId="1" applyFont="1" applyBorder="1" applyAlignment="1">
      <alignment horizontal="center" vertical="center"/>
    </xf>
    <xf numFmtId="41" fontId="7" fillId="14" borderId="8" xfId="1" applyFont="1" applyFill="1" applyBorder="1" applyAlignment="1">
      <alignment vertical="center"/>
    </xf>
    <xf numFmtId="41" fontId="7" fillId="4" borderId="6" xfId="1" applyFont="1" applyFill="1" applyBorder="1" applyAlignment="1">
      <alignment horizontal="center" vertical="center" shrinkToFit="1"/>
    </xf>
    <xf numFmtId="41" fontId="7" fillId="4" borderId="6" xfId="1" applyFont="1" applyFill="1" applyBorder="1" applyAlignment="1">
      <alignment vertical="center" shrinkToFit="1"/>
    </xf>
    <xf numFmtId="41" fontId="7" fillId="4" borderId="6" xfId="1" applyFont="1" applyFill="1" applyBorder="1" applyAlignment="1">
      <alignment horizontal="right" vertical="center" shrinkToFit="1"/>
    </xf>
    <xf numFmtId="188" fontId="7" fillId="4" borderId="8" xfId="1" applyNumberFormat="1" applyFont="1" applyFill="1" applyBorder="1" applyAlignment="1">
      <alignment horizontal="right" vertical="center" shrinkToFit="1"/>
    </xf>
    <xf numFmtId="176" fontId="7" fillId="4" borderId="13" xfId="1" applyNumberFormat="1" applyFont="1" applyFill="1" applyBorder="1" applyAlignment="1">
      <alignment horizontal="right" vertical="center" shrinkToFit="1"/>
    </xf>
    <xf numFmtId="176" fontId="7" fillId="4" borderId="6" xfId="1" applyNumberFormat="1" applyFont="1" applyFill="1" applyBorder="1" applyAlignment="1">
      <alignment horizontal="right" vertical="center" shrinkToFit="1"/>
    </xf>
    <xf numFmtId="176" fontId="7" fillId="4" borderId="33" xfId="1" applyNumberFormat="1" applyFont="1" applyFill="1" applyBorder="1" applyAlignment="1">
      <alignment horizontal="right" vertical="center" shrinkToFit="1"/>
    </xf>
    <xf numFmtId="181" fontId="7" fillId="4" borderId="6" xfId="0" applyNumberFormat="1" applyFont="1" applyFill="1" applyBorder="1" applyAlignment="1">
      <alignment horizontal="center" vertical="center" shrinkToFit="1"/>
    </xf>
    <xf numFmtId="0" fontId="61" fillId="14" borderId="6" xfId="22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shrinkToFit="1"/>
    </xf>
    <xf numFmtId="193" fontId="61" fillId="14" borderId="6" xfId="22" applyNumberFormat="1" applyFont="1" applyFill="1" applyBorder="1" applyAlignment="1">
      <alignment horizontal="center" vertical="center"/>
    </xf>
    <xf numFmtId="49" fontId="61" fillId="14" borderId="6" xfId="22" applyNumberFormat="1" applyFont="1" applyFill="1" applyBorder="1" applyAlignment="1">
      <alignment horizontal="center" vertical="center"/>
    </xf>
    <xf numFmtId="189" fontId="7" fillId="4" borderId="14" xfId="0" applyNumberFormat="1" applyFont="1" applyFill="1" applyBorder="1" applyAlignment="1">
      <alignment vertical="center" shrinkToFit="1"/>
    </xf>
    <xf numFmtId="189" fontId="49" fillId="14" borderId="14" xfId="0" applyNumberFormat="1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horizontal="right" vertical="center" shrinkToFit="1"/>
    </xf>
    <xf numFmtId="41" fontId="70" fillId="0" borderId="0" xfId="1" applyNumberFormat="1" applyFont="1" applyBorder="1" applyAlignment="1">
      <alignment vertical="center"/>
    </xf>
    <xf numFmtId="0" fontId="35" fillId="12" borderId="6" xfId="0" applyFont="1" applyFill="1" applyBorder="1" applyAlignment="1">
      <alignment horizontal="distributed" vertical="center"/>
    </xf>
    <xf numFmtId="176" fontId="34" fillId="0" borderId="0" xfId="0" applyNumberFormat="1" applyFont="1" applyBorder="1" applyAlignment="1">
      <alignment vertical="center"/>
    </xf>
    <xf numFmtId="41" fontId="34" fillId="0" borderId="70" xfId="1" applyFont="1" applyBorder="1" applyAlignment="1">
      <alignment vertical="center"/>
    </xf>
    <xf numFmtId="0" fontId="7" fillId="22" borderId="9" xfId="0" applyNumberFormat="1" applyFont="1" applyFill="1" applyBorder="1" applyAlignment="1">
      <alignment horizontal="left" vertical="center" shrinkToFit="1"/>
    </xf>
    <xf numFmtId="0" fontId="7" fillId="0" borderId="9" xfId="0" applyNumberFormat="1" applyFont="1" applyFill="1" applyBorder="1" applyAlignment="1">
      <alignment horizontal="left" vertical="center" shrinkToFit="1"/>
    </xf>
    <xf numFmtId="0" fontId="7" fillId="0" borderId="43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9" fontId="34" fillId="0" borderId="3" xfId="0" applyNumberFormat="1" applyFont="1" applyBorder="1" applyAlignment="1">
      <alignment horizontal="distributed" vertical="center" shrinkToFit="1"/>
    </xf>
    <xf numFmtId="179" fontId="34" fillId="0" borderId="3" xfId="0" applyNumberFormat="1" applyFont="1" applyBorder="1" applyAlignment="1">
      <alignment horizontal="right" vertical="center"/>
    </xf>
    <xf numFmtId="179" fontId="34" fillId="0" borderId="3" xfId="0" applyNumberFormat="1" applyFont="1" applyBorder="1" applyAlignment="1">
      <alignment horizontal="distributed" vertical="center" wrapText="1" indent="1"/>
    </xf>
    <xf numFmtId="179" fontId="34" fillId="0" borderId="125" xfId="0" applyNumberFormat="1" applyFont="1" applyBorder="1" applyAlignment="1">
      <alignment horizontal="left" vertical="center" indent="1"/>
    </xf>
    <xf numFmtId="179" fontId="34" fillId="0" borderId="175" xfId="0" applyNumberFormat="1" applyFont="1" applyBorder="1" applyAlignment="1">
      <alignment horizontal="right" vertical="center"/>
    </xf>
    <xf numFmtId="41" fontId="34" fillId="0" borderId="0" xfId="0" applyNumberFormat="1" applyFont="1" applyFill="1" applyBorder="1" applyAlignment="1">
      <alignment vertical="center"/>
    </xf>
    <xf numFmtId="41" fontId="7" fillId="0" borderId="14" xfId="1" applyFont="1" applyFill="1" applyBorder="1" applyAlignment="1">
      <alignment vertical="center" wrapText="1"/>
    </xf>
    <xf numFmtId="41" fontId="53" fillId="0" borderId="0" xfId="0" applyNumberFormat="1" applyFont="1" applyBorder="1" applyAlignment="1">
      <alignment vertical="center" shrinkToFit="1"/>
    </xf>
    <xf numFmtId="41" fontId="53" fillId="0" borderId="0" xfId="0" applyNumberFormat="1" applyFont="1" applyBorder="1" applyAlignment="1">
      <alignment vertical="center"/>
    </xf>
    <xf numFmtId="179" fontId="34" fillId="23" borderId="176" xfId="0" applyNumberFormat="1" applyFont="1" applyFill="1" applyBorder="1" applyAlignment="1">
      <alignment horizontal="right" vertical="center"/>
    </xf>
    <xf numFmtId="179" fontId="34" fillId="23" borderId="177" xfId="0" applyNumberFormat="1" applyFont="1" applyFill="1" applyBorder="1" applyAlignment="1">
      <alignment horizontal="right" vertical="center"/>
    </xf>
    <xf numFmtId="41" fontId="34" fillId="23" borderId="70" xfId="1" applyFont="1" applyFill="1" applyBorder="1" applyAlignment="1">
      <alignment vertical="center"/>
    </xf>
    <xf numFmtId="41" fontId="34" fillId="11" borderId="178" xfId="1" applyFont="1" applyFill="1" applyBorder="1" applyAlignment="1">
      <alignment vertical="center"/>
    </xf>
    <xf numFmtId="41" fontId="34" fillId="11" borderId="179" xfId="1" applyFont="1" applyFill="1" applyBorder="1" applyAlignment="1">
      <alignment vertical="center"/>
    </xf>
    <xf numFmtId="41" fontId="34" fillId="23" borderId="180" xfId="1" applyFont="1" applyFill="1" applyBorder="1" applyAlignment="1">
      <alignment horizontal="right" vertical="center"/>
    </xf>
    <xf numFmtId="41" fontId="34" fillId="23" borderId="167" xfId="1" applyFont="1" applyFill="1" applyBorder="1" applyAlignment="1">
      <alignment horizontal="right" vertical="center"/>
    </xf>
    <xf numFmtId="41" fontId="34" fillId="23" borderId="168" xfId="1" applyFont="1" applyFill="1" applyBorder="1" applyAlignment="1">
      <alignment vertical="center"/>
    </xf>
    <xf numFmtId="41" fontId="34" fillId="14" borderId="41" xfId="1" applyFont="1" applyFill="1" applyBorder="1" applyAlignment="1">
      <alignment horizontal="right" vertical="center"/>
    </xf>
    <xf numFmtId="41" fontId="34" fillId="14" borderId="181" xfId="1" applyFont="1" applyFill="1" applyBorder="1" applyAlignment="1">
      <alignment vertical="center"/>
    </xf>
    <xf numFmtId="41" fontId="34" fillId="14" borderId="163" xfId="1" applyFont="1" applyFill="1" applyBorder="1" applyAlignment="1">
      <alignment vertical="center"/>
    </xf>
    <xf numFmtId="41" fontId="34" fillId="14" borderId="166" xfId="1" applyFont="1" applyFill="1" applyBorder="1" applyAlignment="1">
      <alignment vertical="center"/>
    </xf>
    <xf numFmtId="41" fontId="34" fillId="23" borderId="182" xfId="1" applyFont="1" applyFill="1" applyBorder="1" applyAlignment="1">
      <alignment vertical="center"/>
    </xf>
    <xf numFmtId="41" fontId="34" fillId="23" borderId="183" xfId="1" applyFont="1" applyFill="1" applyBorder="1" applyAlignment="1">
      <alignment vertical="center"/>
    </xf>
    <xf numFmtId="186" fontId="47" fillId="0" borderId="67" xfId="0" applyNumberFormat="1" applyFont="1" applyBorder="1" applyAlignment="1">
      <alignment horizontal="left" vertical="center" shrinkToFit="1"/>
    </xf>
    <xf numFmtId="176" fontId="7" fillId="0" borderId="82" xfId="0" applyNumberFormat="1" applyFont="1" applyFill="1" applyBorder="1" applyAlignment="1">
      <alignment vertical="center" shrinkToFit="1"/>
    </xf>
    <xf numFmtId="176" fontId="7" fillId="0" borderId="83" xfId="0" applyNumberFormat="1" applyFont="1" applyFill="1" applyBorder="1" applyAlignment="1">
      <alignment vertical="center" shrinkToFit="1"/>
    </xf>
    <xf numFmtId="176" fontId="7" fillId="0" borderId="68" xfId="0" applyNumberFormat="1" applyFont="1" applyFill="1" applyBorder="1" applyAlignment="1">
      <alignment vertical="center" shrinkToFit="1"/>
    </xf>
    <xf numFmtId="0" fontId="71" fillId="0" borderId="0" xfId="24"/>
    <xf numFmtId="176" fontId="34" fillId="0" borderId="0" xfId="19" applyNumberFormat="1" applyFont="1" applyAlignment="1">
      <alignment horizontal="left" vertical="center" shrinkToFit="1"/>
    </xf>
    <xf numFmtId="0" fontId="37" fillId="0" borderId="0" xfId="0" applyFont="1" applyAlignment="1">
      <alignment horizontal="center" vertical="center"/>
    </xf>
    <xf numFmtId="176" fontId="34" fillId="0" borderId="0" xfId="19" applyNumberFormat="1" applyFont="1" applyAlignment="1">
      <alignment vertical="center" shrinkToFit="1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49" fillId="0" borderId="51" xfId="0" applyFont="1" applyBorder="1" applyAlignment="1">
      <alignment horizontal="center" vertical="center" shrinkToFit="1"/>
    </xf>
    <xf numFmtId="0" fontId="49" fillId="0" borderId="10" xfId="0" applyFont="1" applyBorder="1" applyAlignment="1">
      <alignment horizontal="center" vertical="center" shrinkToFit="1"/>
    </xf>
    <xf numFmtId="0" fontId="49" fillId="0" borderId="52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41" fontId="45" fillId="0" borderId="0" xfId="1" applyFont="1" applyBorder="1" applyAlignment="1">
      <alignment horizontal="center" vertical="center"/>
    </xf>
    <xf numFmtId="0" fontId="47" fillId="0" borderId="22" xfId="0" applyFont="1" applyBorder="1" applyAlignment="1">
      <alignment horizontal="right" vertical="center"/>
    </xf>
    <xf numFmtId="41" fontId="45" fillId="0" borderId="53" xfId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34" fillId="0" borderId="5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41" fontId="45" fillId="0" borderId="58" xfId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3" fontId="35" fillId="0" borderId="8" xfId="1" applyNumberFormat="1" applyFont="1" applyFill="1" applyBorder="1" applyAlignment="1">
      <alignment horizontal="left" vertical="center" shrinkToFit="1"/>
    </xf>
    <xf numFmtId="0" fontId="35" fillId="0" borderId="9" xfId="0" applyFont="1" applyFill="1" applyBorder="1" applyAlignment="1">
      <alignment horizontal="left" vertical="center" shrinkToFit="1"/>
    </xf>
    <xf numFmtId="0" fontId="35" fillId="0" borderId="14" xfId="0" applyFont="1" applyFill="1" applyBorder="1" applyAlignment="1">
      <alignment horizontal="left" vertical="center" shrinkToFit="1"/>
    </xf>
    <xf numFmtId="3" fontId="35" fillId="6" borderId="8" xfId="1" applyNumberFormat="1" applyFont="1" applyFill="1" applyBorder="1" applyAlignment="1">
      <alignment horizontal="left" vertical="center" shrinkToFit="1"/>
    </xf>
    <xf numFmtId="0" fontId="35" fillId="6" borderId="9" xfId="0" applyFont="1" applyFill="1" applyBorder="1" applyAlignment="1">
      <alignment horizontal="left" vertical="center" shrinkToFit="1"/>
    </xf>
    <xf numFmtId="0" fontId="35" fillId="6" borderId="14" xfId="0" applyFont="1" applyFill="1" applyBorder="1" applyAlignment="1">
      <alignment horizontal="left" vertical="center" shrinkToFit="1"/>
    </xf>
    <xf numFmtId="3" fontId="35" fillId="5" borderId="8" xfId="1" applyNumberFormat="1" applyFont="1" applyFill="1" applyBorder="1" applyAlignment="1">
      <alignment horizontal="left" vertical="center" shrinkToFit="1"/>
    </xf>
    <xf numFmtId="0" fontId="35" fillId="5" borderId="9" xfId="0" applyFont="1" applyFill="1" applyBorder="1" applyAlignment="1">
      <alignment horizontal="left" vertical="center" shrinkToFit="1"/>
    </xf>
    <xf numFmtId="0" fontId="35" fillId="5" borderId="14" xfId="0" applyFont="1" applyFill="1" applyBorder="1" applyAlignment="1">
      <alignment horizontal="left" vertical="center" shrinkToFit="1"/>
    </xf>
    <xf numFmtId="0" fontId="35" fillId="12" borderId="8" xfId="0" applyNumberFormat="1" applyFont="1" applyFill="1" applyBorder="1" applyAlignment="1">
      <alignment horizontal="left" vertical="center" wrapText="1" shrinkToFit="1"/>
    </xf>
    <xf numFmtId="0" fontId="35" fillId="12" borderId="9" xfId="0" applyFont="1" applyFill="1" applyBorder="1" applyAlignment="1">
      <alignment horizontal="left" vertical="center" shrinkToFit="1"/>
    </xf>
    <xf numFmtId="0" fontId="35" fillId="12" borderId="14" xfId="0" applyFont="1" applyFill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shrinkToFit="1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wrapText="1" shrinkToFit="1"/>
    </xf>
    <xf numFmtId="0" fontId="35" fillId="0" borderId="9" xfId="0" applyNumberFormat="1" applyFont="1" applyBorder="1" applyAlignment="1">
      <alignment horizontal="left" vertical="center" wrapText="1" shrinkToFit="1"/>
    </xf>
    <xf numFmtId="0" fontId="35" fillId="0" borderId="9" xfId="0" applyNumberFormat="1" applyFont="1" applyBorder="1" applyAlignment="1">
      <alignment horizontal="left" vertical="center" shrinkToFit="1"/>
    </xf>
    <xf numFmtId="0" fontId="35" fillId="0" borderId="14" xfId="0" applyNumberFormat="1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center" vertical="center" shrinkToFit="1"/>
    </xf>
    <xf numFmtId="0" fontId="35" fillId="0" borderId="9" xfId="0" applyNumberFormat="1" applyFont="1" applyBorder="1" applyAlignment="1">
      <alignment horizontal="center" vertical="center" shrinkToFit="1"/>
    </xf>
    <xf numFmtId="0" fontId="35" fillId="0" borderId="14" xfId="0" applyNumberFormat="1" applyFont="1" applyBorder="1" applyAlignment="1">
      <alignment horizontal="center" vertical="center" shrinkToFit="1"/>
    </xf>
    <xf numFmtId="3" fontId="35" fillId="6" borderId="5" xfId="1" applyNumberFormat="1" applyFont="1" applyFill="1" applyBorder="1" applyAlignment="1">
      <alignment horizontal="left" vertical="center" shrinkToFit="1"/>
    </xf>
    <xf numFmtId="3" fontId="35" fillId="6" borderId="71" xfId="1" applyNumberFormat="1" applyFont="1" applyFill="1" applyBorder="1" applyAlignment="1">
      <alignment horizontal="left" vertical="center" shrinkToFit="1"/>
    </xf>
    <xf numFmtId="0" fontId="35" fillId="0" borderId="49" xfId="0" applyFont="1" applyBorder="1" applyAlignment="1">
      <alignment horizontal="right" vertical="center" wrapText="1" shrinkToFit="1"/>
    </xf>
    <xf numFmtId="0" fontId="35" fillId="0" borderId="50" xfId="0" applyFont="1" applyBorder="1" applyAlignment="1">
      <alignment horizontal="right" vertical="center" shrinkToFit="1"/>
    </xf>
    <xf numFmtId="3" fontId="35" fillId="0" borderId="6" xfId="1" applyNumberFormat="1" applyFont="1" applyBorder="1" applyAlignment="1">
      <alignment horizontal="left" vertical="center" wrapText="1" shrinkToFit="1"/>
    </xf>
    <xf numFmtId="0" fontId="35" fillId="0" borderId="6" xfId="0" applyFont="1" applyBorder="1" applyAlignment="1">
      <alignment horizontal="left" vertical="center" shrinkToFit="1"/>
    </xf>
    <xf numFmtId="0" fontId="35" fillId="0" borderId="33" xfId="0" applyFont="1" applyBorder="1" applyAlignment="1">
      <alignment horizontal="left" vertical="center" shrinkToFit="1"/>
    </xf>
    <xf numFmtId="3" fontId="35" fillId="6" borderId="6" xfId="1" applyNumberFormat="1" applyFont="1" applyFill="1" applyBorder="1" applyAlignment="1">
      <alignment horizontal="left" vertical="center" shrinkToFit="1"/>
    </xf>
    <xf numFmtId="0" fontId="35" fillId="6" borderId="6" xfId="0" applyFont="1" applyFill="1" applyBorder="1" applyAlignment="1">
      <alignment horizontal="left" vertical="center" shrinkToFit="1"/>
    </xf>
    <xf numFmtId="0" fontId="35" fillId="6" borderId="33" xfId="0" applyFont="1" applyFill="1" applyBorder="1" applyAlignment="1">
      <alignment horizontal="left" vertical="center" shrinkToFit="1"/>
    </xf>
    <xf numFmtId="41" fontId="36" fillId="0" borderId="0" xfId="1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3" fontId="35" fillId="0" borderId="46" xfId="1" applyNumberFormat="1" applyFont="1" applyBorder="1" applyAlignment="1">
      <alignment horizontal="center" vertical="center" shrinkToFit="1"/>
    </xf>
    <xf numFmtId="0" fontId="35" fillId="0" borderId="46" xfId="0" applyFont="1" applyBorder="1" applyAlignment="1">
      <alignment vertical="center" shrinkToFit="1"/>
    </xf>
    <xf numFmtId="0" fontId="35" fillId="0" borderId="45" xfId="0" applyFont="1" applyBorder="1" applyAlignment="1">
      <alignment vertical="center" shrinkToFit="1"/>
    </xf>
    <xf numFmtId="3" fontId="35" fillId="5" borderId="6" xfId="1" applyNumberFormat="1" applyFont="1" applyFill="1" applyBorder="1" applyAlignment="1">
      <alignment horizontal="left" vertical="center" shrinkToFit="1"/>
    </xf>
    <xf numFmtId="0" fontId="35" fillId="5" borderId="6" xfId="0" applyFont="1" applyFill="1" applyBorder="1" applyAlignment="1">
      <alignment horizontal="left" vertical="center" shrinkToFit="1"/>
    </xf>
    <xf numFmtId="0" fontId="35" fillId="5" borderId="33" xfId="0" applyFont="1" applyFill="1" applyBorder="1" applyAlignment="1">
      <alignment horizontal="left" vertical="center" shrinkToFit="1"/>
    </xf>
    <xf numFmtId="3" fontId="35" fillId="0" borderId="6" xfId="1" applyNumberFormat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left" vertical="center" shrinkToFit="1"/>
    </xf>
    <xf numFmtId="0" fontId="35" fillId="0" borderId="33" xfId="0" applyFont="1" applyFill="1" applyBorder="1" applyAlignment="1">
      <alignment horizontal="left" vertical="center" shrinkToFit="1"/>
    </xf>
    <xf numFmtId="3" fontId="35" fillId="5" borderId="33" xfId="1" applyNumberFormat="1" applyFont="1" applyFill="1" applyBorder="1" applyAlignment="1">
      <alignment horizontal="left" vertical="center" shrinkToFit="1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84" xfId="0" applyFont="1" applyBorder="1" applyAlignment="1">
      <alignment horizontal="left" vertical="center" wrapText="1"/>
    </xf>
    <xf numFmtId="0" fontId="35" fillId="0" borderId="85" xfId="0" applyFont="1" applyBorder="1" applyAlignment="1">
      <alignment horizontal="left" vertical="center"/>
    </xf>
    <xf numFmtId="0" fontId="35" fillId="0" borderId="24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5" fillId="0" borderId="9" xfId="0" applyFont="1" applyBorder="1" applyAlignment="1">
      <alignment horizontal="left" vertical="center"/>
    </xf>
    <xf numFmtId="0" fontId="35" fillId="0" borderId="14" xfId="0" applyFont="1" applyBorder="1" applyAlignment="1">
      <alignment horizontal="left" vertical="center"/>
    </xf>
    <xf numFmtId="0" fontId="35" fillId="5" borderId="8" xfId="0" applyFont="1" applyFill="1" applyBorder="1" applyAlignment="1">
      <alignment horizontal="center" vertical="center"/>
    </xf>
    <xf numFmtId="0" fontId="35" fillId="5" borderId="9" xfId="0" applyFont="1" applyFill="1" applyBorder="1" applyAlignment="1">
      <alignment horizontal="center" vertical="center"/>
    </xf>
    <xf numFmtId="0" fontId="35" fillId="5" borderId="14" xfId="0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6" borderId="9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horizontal="center" vertical="center"/>
    </xf>
    <xf numFmtId="3" fontId="35" fillId="0" borderId="8" xfId="1" applyNumberFormat="1" applyFont="1" applyBorder="1" applyAlignment="1">
      <alignment horizontal="center" vertical="center" shrinkToFit="1"/>
    </xf>
    <xf numFmtId="3" fontId="35" fillId="0" borderId="9" xfId="1" applyNumberFormat="1" applyFont="1" applyBorder="1" applyAlignment="1">
      <alignment horizontal="center" vertical="center" shrinkToFit="1"/>
    </xf>
    <xf numFmtId="3" fontId="35" fillId="0" borderId="14" xfId="1" applyNumberFormat="1" applyFont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wrapText="1" shrinkToFit="1"/>
    </xf>
    <xf numFmtId="3" fontId="35" fillId="0" borderId="9" xfId="1" applyNumberFormat="1" applyFont="1" applyBorder="1" applyAlignment="1">
      <alignment horizontal="left" vertical="center" shrinkToFit="1"/>
    </xf>
    <xf numFmtId="3" fontId="35" fillId="0" borderId="14" xfId="1" applyNumberFormat="1" applyFont="1" applyBorder="1" applyAlignment="1">
      <alignment horizontal="left" vertical="center" shrinkToFit="1"/>
    </xf>
    <xf numFmtId="3" fontId="35" fillId="0" borderId="9" xfId="1" applyNumberFormat="1" applyFont="1" applyFill="1" applyBorder="1" applyAlignment="1">
      <alignment horizontal="left" vertical="center" shrinkToFit="1"/>
    </xf>
    <xf numFmtId="3" fontId="35" fillId="0" borderId="14" xfId="1" applyNumberFormat="1" applyFont="1" applyFill="1" applyBorder="1" applyAlignment="1">
      <alignment horizontal="left" vertical="center" shrinkToFit="1"/>
    </xf>
    <xf numFmtId="3" fontId="35" fillId="0" borderId="8" xfId="1" applyNumberFormat="1" applyFont="1" applyFill="1" applyBorder="1" applyAlignment="1">
      <alignment horizontal="left" vertical="center" wrapText="1" shrinkToFit="1"/>
    </xf>
    <xf numFmtId="3" fontId="35" fillId="6" borderId="8" xfId="1" applyNumberFormat="1" applyFont="1" applyFill="1" applyBorder="1" applyAlignment="1">
      <alignment horizontal="center" vertical="center" shrinkToFit="1"/>
    </xf>
    <xf numFmtId="3" fontId="35" fillId="6" borderId="9" xfId="1" applyNumberFormat="1" applyFont="1" applyFill="1" applyBorder="1" applyAlignment="1">
      <alignment horizontal="center" vertical="center" shrinkToFit="1"/>
    </xf>
    <xf numFmtId="3" fontId="35" fillId="6" borderId="14" xfId="1" applyNumberFormat="1" applyFont="1" applyFill="1" applyBorder="1" applyAlignment="1">
      <alignment horizontal="center" vertical="center" shrinkToFit="1"/>
    </xf>
    <xf numFmtId="3" fontId="35" fillId="5" borderId="8" xfId="1" applyNumberFormat="1" applyFont="1" applyFill="1" applyBorder="1" applyAlignment="1">
      <alignment horizontal="center" vertical="center" shrinkToFit="1"/>
    </xf>
    <xf numFmtId="3" fontId="35" fillId="5" borderId="9" xfId="1" applyNumberFormat="1" applyFont="1" applyFill="1" applyBorder="1" applyAlignment="1">
      <alignment horizontal="center" vertical="center" shrinkToFit="1"/>
    </xf>
    <xf numFmtId="3" fontId="35" fillId="5" borderId="14" xfId="1" applyNumberFormat="1" applyFont="1" applyFill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shrinkToFit="1"/>
    </xf>
    <xf numFmtId="177" fontId="61" fillId="14" borderId="8" xfId="11" applyNumberFormat="1" applyFont="1" applyFill="1" applyBorder="1" applyAlignment="1">
      <alignment horizontal="right" vertical="center"/>
    </xf>
    <xf numFmtId="177" fontId="61" fillId="14" borderId="9" xfId="11" applyNumberFormat="1" applyFont="1" applyFill="1" applyBorder="1" applyAlignment="1">
      <alignment horizontal="right" vertical="center"/>
    </xf>
    <xf numFmtId="177" fontId="61" fillId="14" borderId="30" xfId="11" applyNumberFormat="1" applyFont="1" applyFill="1" applyBorder="1" applyAlignment="1">
      <alignment horizontal="right" vertical="center"/>
    </xf>
    <xf numFmtId="3" fontId="7" fillId="4" borderId="81" xfId="11" applyNumberFormat="1" applyFont="1" applyFill="1" applyBorder="1" applyAlignment="1">
      <alignment horizontal="right" vertical="center" shrinkToFit="1"/>
    </xf>
    <xf numFmtId="3" fontId="7" fillId="4" borderId="9" xfId="11" applyNumberFormat="1" applyFont="1" applyFill="1" applyBorder="1" applyAlignment="1">
      <alignment horizontal="right" vertical="center" shrinkToFit="1"/>
    </xf>
    <xf numFmtId="3" fontId="7" fillId="4" borderId="30" xfId="11" applyNumberFormat="1" applyFont="1" applyFill="1" applyBorder="1" applyAlignment="1">
      <alignment horizontal="right" vertical="center" shrinkToFit="1"/>
    </xf>
    <xf numFmtId="41" fontId="7" fillId="4" borderId="8" xfId="1" applyFont="1" applyFill="1" applyBorder="1" applyAlignment="1">
      <alignment horizontal="right" vertical="center" shrinkToFit="1"/>
    </xf>
    <xf numFmtId="41" fontId="7" fillId="4" borderId="9" xfId="1" applyFont="1" applyFill="1" applyBorder="1" applyAlignment="1">
      <alignment horizontal="right" vertical="center" shrinkToFit="1"/>
    </xf>
    <xf numFmtId="41" fontId="7" fillId="4" borderId="30" xfId="1" applyFont="1" applyFill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horizontal="right" vertical="center"/>
    </xf>
    <xf numFmtId="0" fontId="7" fillId="0" borderId="81" xfId="0" applyNumberFormat="1" applyFont="1" applyFill="1" applyBorder="1" applyAlignment="1">
      <alignment horizontal="right" vertical="center" shrinkToFit="1"/>
    </xf>
    <xf numFmtId="0" fontId="7" fillId="0" borderId="9" xfId="0" applyNumberFormat="1" applyFont="1" applyFill="1" applyBorder="1" applyAlignment="1">
      <alignment horizontal="right" vertical="center" shrinkToFit="1"/>
    </xf>
    <xf numFmtId="41" fontId="7" fillId="0" borderId="81" xfId="0" applyNumberFormat="1" applyFont="1" applyBorder="1" applyAlignment="1">
      <alignment horizontal="right" vertical="center" shrinkToFit="1"/>
    </xf>
    <xf numFmtId="41" fontId="7" fillId="0" borderId="9" xfId="0" applyNumberFormat="1" applyFont="1" applyBorder="1" applyAlignment="1">
      <alignment horizontal="right" vertical="center" shrinkToFit="1"/>
    </xf>
    <xf numFmtId="41" fontId="7" fillId="14" borderId="81" xfId="0" applyNumberFormat="1" applyFont="1" applyFill="1" applyBorder="1" applyAlignment="1">
      <alignment horizontal="left" vertical="center" shrinkToFit="1"/>
    </xf>
    <xf numFmtId="41" fontId="7" fillId="14" borderId="9" xfId="0" applyNumberFormat="1" applyFont="1" applyFill="1" applyBorder="1" applyAlignment="1">
      <alignment horizontal="left" vertical="center" shrinkToFit="1"/>
    </xf>
    <xf numFmtId="41" fontId="7" fillId="14" borderId="81" xfId="0" applyNumberFormat="1" applyFont="1" applyFill="1" applyBorder="1" applyAlignment="1">
      <alignment horizontal="left" vertical="center"/>
    </xf>
    <xf numFmtId="41" fontId="7" fillId="14" borderId="9" xfId="0" applyNumberFormat="1" applyFont="1" applyFill="1" applyBorder="1" applyAlignment="1">
      <alignment horizontal="left" vertical="center"/>
    </xf>
    <xf numFmtId="0" fontId="7" fillId="0" borderId="81" xfId="0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right" vertical="center" shrinkToFit="1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7" fillId="0" borderId="49" xfId="0" applyNumberFormat="1" applyFont="1" applyBorder="1" applyAlignment="1">
      <alignment horizontal="center" vertical="center" wrapText="1"/>
    </xf>
    <xf numFmtId="0" fontId="7" fillId="0" borderId="50" xfId="0" applyNumberFormat="1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/>
    </xf>
    <xf numFmtId="176" fontId="35" fillId="0" borderId="60" xfId="0" applyNumberFormat="1" applyFont="1" applyBorder="1" applyAlignment="1">
      <alignment horizontal="center" vertical="center" wrapText="1" shrinkToFit="1"/>
    </xf>
    <xf numFmtId="176" fontId="35" fillId="0" borderId="61" xfId="0" applyNumberFormat="1" applyFont="1" applyBorder="1" applyAlignment="1">
      <alignment horizontal="center" vertical="center" shrinkToFit="1"/>
    </xf>
    <xf numFmtId="0" fontId="35" fillId="0" borderId="29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4" fillId="0" borderId="62" xfId="0" applyFont="1" applyBorder="1" applyAlignment="1">
      <alignment vertical="center"/>
    </xf>
    <xf numFmtId="0" fontId="34" fillId="0" borderId="63" xfId="0" applyFont="1" applyBorder="1" applyAlignment="1">
      <alignment vertical="center"/>
    </xf>
    <xf numFmtId="0" fontId="35" fillId="0" borderId="47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9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7" fillId="22" borderId="9" xfId="0" applyFont="1" applyFill="1" applyBorder="1" applyAlignment="1">
      <alignment horizontal="center" vertical="center" shrinkToFit="1"/>
    </xf>
    <xf numFmtId="189" fontId="7" fillId="0" borderId="9" xfId="0" applyNumberFormat="1" applyFont="1" applyBorder="1" applyAlignment="1">
      <alignment horizontal="right" vertical="center" shrinkToFit="1"/>
    </xf>
    <xf numFmtId="0" fontId="7" fillId="0" borderId="9" xfId="0" applyFont="1" applyBorder="1" applyAlignment="1">
      <alignment horizontal="right" vertical="center" shrinkToFit="1"/>
    </xf>
    <xf numFmtId="41" fontId="7" fillId="0" borderId="136" xfId="0" applyNumberFormat="1" applyFont="1" applyBorder="1" applyAlignment="1">
      <alignment horizontal="right" vertical="center" shrinkToFit="1"/>
    </xf>
    <xf numFmtId="41" fontId="7" fillId="0" borderId="25" xfId="0" applyNumberFormat="1" applyFont="1" applyBorder="1" applyAlignment="1">
      <alignment horizontal="right" vertical="center" shrinkToFit="1"/>
    </xf>
    <xf numFmtId="177" fontId="61" fillId="0" borderId="25" xfId="11" applyNumberFormat="1" applyFont="1" applyFill="1" applyBorder="1" applyAlignment="1">
      <alignment horizontal="right" vertical="center"/>
    </xf>
    <xf numFmtId="41" fontId="7" fillId="0" borderId="43" xfId="0" applyNumberFormat="1" applyFont="1" applyBorder="1" applyAlignment="1">
      <alignment horizontal="right" vertical="center" shrinkToFit="1"/>
    </xf>
    <xf numFmtId="41" fontId="7" fillId="0" borderId="85" xfId="0" applyNumberFormat="1" applyFont="1" applyBorder="1" applyAlignment="1">
      <alignment horizontal="right" vertical="center" shrinkToFit="1"/>
    </xf>
    <xf numFmtId="177" fontId="61" fillId="0" borderId="85" xfId="11" applyNumberFormat="1" applyFont="1" applyFill="1" applyBorder="1" applyAlignment="1">
      <alignment horizontal="right" vertical="center"/>
    </xf>
    <xf numFmtId="0" fontId="57" fillId="0" borderId="150" xfId="0" applyFont="1" applyBorder="1" applyAlignment="1">
      <alignment horizontal="center" vertical="center"/>
    </xf>
    <xf numFmtId="0" fontId="57" fillId="0" borderId="122" xfId="0" applyFont="1" applyBorder="1" applyAlignment="1">
      <alignment horizontal="center" vertical="center"/>
    </xf>
    <xf numFmtId="0" fontId="57" fillId="0" borderId="123" xfId="0" applyFont="1" applyBorder="1" applyAlignment="1">
      <alignment horizontal="center" vertical="center"/>
    </xf>
    <xf numFmtId="0" fontId="57" fillId="0" borderId="14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vertical="center"/>
    </xf>
    <xf numFmtId="0" fontId="45" fillId="0" borderId="142" xfId="0" applyFont="1" applyFill="1" applyBorder="1" applyAlignment="1">
      <alignment horizontal="center" vertical="center"/>
    </xf>
    <xf numFmtId="0" fontId="45" fillId="0" borderId="143" xfId="0" applyFont="1" applyFill="1" applyBorder="1" applyAlignment="1">
      <alignment horizontal="center" vertical="center"/>
    </xf>
    <xf numFmtId="0" fontId="45" fillId="0" borderId="41" xfId="0" applyFont="1" applyFill="1" applyBorder="1" applyAlignment="1">
      <alignment horizontal="center" vertical="center"/>
    </xf>
    <xf numFmtId="176" fontId="45" fillId="0" borderId="144" xfId="0" applyNumberFormat="1" applyFont="1" applyFill="1" applyBorder="1" applyAlignment="1">
      <alignment horizontal="center" vertical="center"/>
    </xf>
    <xf numFmtId="176" fontId="45" fillId="0" borderId="145" xfId="0" applyNumberFormat="1" applyFont="1" applyFill="1" applyBorder="1" applyAlignment="1">
      <alignment horizontal="center" vertical="center"/>
    </xf>
    <xf numFmtId="176" fontId="45" fillId="0" borderId="146" xfId="0" applyNumberFormat="1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149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41" fontId="45" fillId="0" borderId="2" xfId="1" applyFont="1" applyBorder="1" applyAlignment="1">
      <alignment horizontal="center" vertical="center"/>
    </xf>
    <xf numFmtId="41" fontId="45" fillId="0" borderId="54" xfId="1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/>
    </xf>
    <xf numFmtId="0" fontId="49" fillId="0" borderId="46" xfId="0" applyFont="1" applyBorder="1" applyAlignment="1">
      <alignment horizontal="center" vertical="center"/>
    </xf>
    <xf numFmtId="0" fontId="49" fillId="0" borderId="37" xfId="0" applyFont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 wrapText="1"/>
    </xf>
    <xf numFmtId="0" fontId="59" fillId="0" borderId="79" xfId="0" applyFont="1" applyFill="1" applyBorder="1" applyAlignment="1">
      <alignment horizontal="center" vertical="center"/>
    </xf>
    <xf numFmtId="0" fontId="59" fillId="0" borderId="80" xfId="0" applyFont="1" applyFill="1" applyBorder="1" applyAlignment="1">
      <alignment horizontal="center" vertical="center"/>
    </xf>
    <xf numFmtId="0" fontId="34" fillId="23" borderId="53" xfId="0" applyFont="1" applyFill="1" applyBorder="1" applyAlignment="1">
      <alignment horizontal="right" vertical="center"/>
    </xf>
    <xf numFmtId="0" fontId="34" fillId="23" borderId="2" xfId="0" applyFont="1" applyFill="1" applyBorder="1" applyAlignment="1">
      <alignment horizontal="right" vertical="center"/>
    </xf>
    <xf numFmtId="0" fontId="34" fillId="23" borderId="59" xfId="0" applyFont="1" applyFill="1" applyBorder="1" applyAlignment="1">
      <alignment horizontal="right" vertical="center"/>
    </xf>
    <xf numFmtId="41" fontId="7" fillId="2" borderId="79" xfId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 wrapText="1"/>
    </xf>
    <xf numFmtId="41" fontId="7" fillId="2" borderId="79" xfId="1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53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59" xfId="1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 wrapText="1"/>
    </xf>
    <xf numFmtId="42" fontId="14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36" fillId="17" borderId="53" xfId="0" applyFont="1" applyFill="1" applyBorder="1" applyAlignment="1">
      <alignment horizontal="right" vertical="center"/>
    </xf>
    <xf numFmtId="0" fontId="36" fillId="17" borderId="2" xfId="0" applyFont="1" applyFill="1" applyBorder="1" applyAlignment="1">
      <alignment horizontal="right" vertical="center"/>
    </xf>
    <xf numFmtId="0" fontId="36" fillId="17" borderId="59" xfId="0" applyFont="1" applyFill="1" applyBorder="1" applyAlignment="1">
      <alignment horizontal="right" vertical="center"/>
    </xf>
    <xf numFmtId="42" fontId="49" fillId="0" borderId="0" xfId="16" applyFont="1" applyFill="1" applyAlignment="1">
      <alignment horizontal="left" vertical="center"/>
    </xf>
    <xf numFmtId="0" fontId="7" fillId="0" borderId="95" xfId="0" applyFont="1" applyBorder="1" applyAlignment="1">
      <alignment horizontal="center" vertical="center"/>
    </xf>
    <xf numFmtId="0" fontId="7" fillId="0" borderId="95" xfId="0" applyFont="1" applyFill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41" fontId="59" fillId="3" borderId="95" xfId="1" applyFont="1" applyFill="1" applyBorder="1" applyAlignment="1">
      <alignment horizontal="center" vertical="center"/>
    </xf>
    <xf numFmtId="0" fontId="34" fillId="23" borderId="70" xfId="0" applyFont="1" applyFill="1" applyBorder="1" applyAlignment="1">
      <alignment horizontal="right" vertical="center"/>
    </xf>
    <xf numFmtId="0" fontId="34" fillId="0" borderId="53" xfId="0" applyFont="1" applyBorder="1" applyAlignment="1">
      <alignment horizontal="right" vertical="center"/>
    </xf>
    <xf numFmtId="0" fontId="34" fillId="0" borderId="2" xfId="0" applyFont="1" applyBorder="1" applyAlignment="1">
      <alignment horizontal="right" vertical="center"/>
    </xf>
    <xf numFmtId="0" fontId="34" fillId="0" borderId="59" xfId="0" applyFont="1" applyBorder="1" applyAlignment="1">
      <alignment horizontal="right" vertical="center"/>
    </xf>
    <xf numFmtId="42" fontId="65" fillId="0" borderId="22" xfId="16" applyFont="1" applyFill="1" applyBorder="1" applyAlignment="1">
      <alignment vertical="center"/>
    </xf>
    <xf numFmtId="42" fontId="7" fillId="3" borderId="53" xfId="16" applyFont="1" applyFill="1" applyBorder="1" applyAlignment="1">
      <alignment horizontal="center" vertical="center"/>
    </xf>
    <xf numFmtId="42" fontId="7" fillId="3" borderId="2" xfId="16" applyFont="1" applyFill="1" applyBorder="1" applyAlignment="1">
      <alignment horizontal="center" vertical="center"/>
    </xf>
    <xf numFmtId="42" fontId="7" fillId="3" borderId="59" xfId="16" applyFont="1" applyFill="1" applyBorder="1" applyAlignment="1">
      <alignment horizontal="center" vertical="center"/>
    </xf>
    <xf numFmtId="0" fontId="24" fillId="0" borderId="128" xfId="0" applyFont="1" applyBorder="1" applyAlignment="1">
      <alignment horizontal="center" vertical="center" wrapText="1"/>
    </xf>
    <xf numFmtId="0" fontId="24" fillId="0" borderId="128" xfId="0" applyFont="1" applyBorder="1" applyAlignment="1">
      <alignment vertical="center"/>
    </xf>
    <xf numFmtId="0" fontId="24" fillId="0" borderId="6" xfId="0" applyFont="1" applyBorder="1" applyAlignment="1">
      <alignment horizontal="distributed" vertical="center"/>
    </xf>
    <xf numFmtId="0" fontId="24" fillId="0" borderId="129" xfId="0" applyFont="1" applyBorder="1" applyAlignment="1">
      <alignment vertical="center"/>
    </xf>
    <xf numFmtId="0" fontId="24" fillId="0" borderId="125" xfId="0" applyFont="1" applyBorder="1" applyAlignment="1">
      <alignment horizontal="distributed" vertical="center"/>
    </xf>
    <xf numFmtId="0" fontId="24" fillId="0" borderId="120" xfId="0" applyFont="1" applyBorder="1" applyAlignment="1">
      <alignment horizontal="center" vertical="center"/>
    </xf>
    <xf numFmtId="0" fontId="24" fillId="0" borderId="122" xfId="0" applyFont="1" applyBorder="1" applyAlignment="1">
      <alignment horizontal="center" vertical="center"/>
    </xf>
    <xf numFmtId="0" fontId="24" fillId="0" borderId="124" xfId="0" applyFont="1" applyBorder="1" applyAlignment="1">
      <alignment horizontal="center" vertical="center"/>
    </xf>
    <xf numFmtId="0" fontId="24" fillId="0" borderId="8" xfId="0" applyFont="1" applyBorder="1" applyAlignment="1">
      <alignment horizontal="distributed" vertical="center"/>
    </xf>
    <xf numFmtId="0" fontId="24" fillId="0" borderId="30" xfId="0" applyFont="1" applyBorder="1" applyAlignment="1">
      <alignment horizontal="distributed" vertical="center"/>
    </xf>
    <xf numFmtId="0" fontId="24" fillId="0" borderId="3" xfId="0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0" fontId="24" fillId="0" borderId="4" xfId="0" applyFont="1" applyBorder="1" applyAlignment="1">
      <alignment horizontal="distributed" vertical="center"/>
    </xf>
    <xf numFmtId="0" fontId="27" fillId="0" borderId="122" xfId="0" applyFont="1" applyBorder="1" applyAlignment="1">
      <alignment vertical="center"/>
    </xf>
    <xf numFmtId="0" fontId="27" fillId="0" borderId="124" xfId="0" applyFont="1" applyBorder="1" applyAlignment="1">
      <alignment vertical="center"/>
    </xf>
    <xf numFmtId="0" fontId="24" fillId="0" borderId="15" xfId="0" applyFont="1" applyBorder="1" applyAlignment="1">
      <alignment horizontal="distributed" vertical="center"/>
    </xf>
    <xf numFmtId="0" fontId="24" fillId="0" borderId="26" xfId="0" applyFont="1" applyBorder="1" applyAlignment="1">
      <alignment horizontal="distributed" vertical="center"/>
    </xf>
    <xf numFmtId="0" fontId="19" fillId="0" borderId="0" xfId="0" applyFont="1" applyAlignment="1">
      <alignment horizontal="left" vertical="center"/>
    </xf>
    <xf numFmtId="0" fontId="17" fillId="0" borderId="112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179" fontId="17" fillId="0" borderId="115" xfId="0" applyNumberFormat="1" applyFont="1" applyBorder="1" applyAlignment="1">
      <alignment horizontal="center" vertical="center"/>
    </xf>
    <xf numFmtId="179" fontId="17" fillId="0" borderId="113" xfId="0" applyNumberFormat="1" applyFont="1" applyBorder="1" applyAlignment="1">
      <alignment horizontal="center" vertical="center"/>
    </xf>
    <xf numFmtId="0" fontId="17" fillId="8" borderId="117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0" fontId="24" fillId="0" borderId="12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179" fontId="22" fillId="0" borderId="8" xfId="0" applyNumberFormat="1" applyFont="1" applyBorder="1" applyAlignment="1">
      <alignment horizontal="center" vertical="center"/>
    </xf>
    <xf numFmtId="179" fontId="22" fillId="0" borderId="9" xfId="0" applyNumberFormat="1" applyFont="1" applyBorder="1" applyAlignment="1">
      <alignment horizontal="center" vertical="center"/>
    </xf>
    <xf numFmtId="179" fontId="22" fillId="0" borderId="30" xfId="0" applyNumberFormat="1" applyFont="1" applyBorder="1" applyAlignment="1">
      <alignment horizontal="center" vertical="center"/>
    </xf>
    <xf numFmtId="179" fontId="19" fillId="0" borderId="133" xfId="0" applyNumberFormat="1" applyFont="1" applyBorder="1" applyAlignment="1">
      <alignment horizontal="center" vertical="center"/>
    </xf>
    <xf numFmtId="0" fontId="19" fillId="0" borderId="133" xfId="0" applyFont="1" applyBorder="1" applyAlignment="1">
      <alignment vertical="center"/>
    </xf>
    <xf numFmtId="179" fontId="22" fillId="8" borderId="20" xfId="0" applyNumberFormat="1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vertical="center"/>
    </xf>
    <xf numFmtId="179" fontId="22" fillId="0" borderId="6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3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176" fontId="20" fillId="0" borderId="8" xfId="0" applyNumberFormat="1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176" fontId="20" fillId="0" borderId="84" xfId="0" applyNumberFormat="1" applyFont="1" applyBorder="1" applyAlignment="1">
      <alignment horizontal="left" vertical="center"/>
    </xf>
    <xf numFmtId="0" fontId="20" fillId="0" borderId="8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176" fontId="20" fillId="0" borderId="9" xfId="0" applyNumberFormat="1" applyFont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 shrinkToFit="1"/>
    </xf>
    <xf numFmtId="176" fontId="20" fillId="0" borderId="9" xfId="0" applyNumberFormat="1" applyFont="1" applyBorder="1" applyAlignment="1">
      <alignment horizontal="left" vertical="center" shrinkToFit="1"/>
    </xf>
    <xf numFmtId="176" fontId="20" fillId="0" borderId="14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176" fontId="24" fillId="0" borderId="8" xfId="0" applyNumberFormat="1" applyFont="1" applyBorder="1" applyAlignment="1">
      <alignment horizontal="left" vertical="center"/>
    </xf>
    <xf numFmtId="176" fontId="24" fillId="0" borderId="9" xfId="0" applyNumberFormat="1" applyFont="1" applyBorder="1" applyAlignment="1">
      <alignment horizontal="left" vertical="center"/>
    </xf>
    <xf numFmtId="176" fontId="24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shrinkToFit="1"/>
    </xf>
    <xf numFmtId="0" fontId="27" fillId="0" borderId="9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176" fontId="20" fillId="0" borderId="8" xfId="0" applyNumberFormat="1" applyFont="1" applyBorder="1" applyAlignment="1">
      <alignment horizontal="fill" vertical="center"/>
    </xf>
    <xf numFmtId="176" fontId="20" fillId="0" borderId="9" xfId="0" applyNumberFormat="1" applyFont="1" applyBorder="1" applyAlignment="1">
      <alignment horizontal="fill" vertical="center"/>
    </xf>
    <xf numFmtId="176" fontId="20" fillId="0" borderId="14" xfId="0" applyNumberFormat="1" applyFont="1" applyBorder="1" applyAlignment="1">
      <alignment horizontal="fill" vertical="center"/>
    </xf>
    <xf numFmtId="176" fontId="24" fillId="0" borderId="8" xfId="0" applyNumberFormat="1" applyFont="1" applyBorder="1" applyAlignment="1">
      <alignment vertical="center"/>
    </xf>
    <xf numFmtId="176" fontId="24" fillId="0" borderId="86" xfId="0" applyNumberFormat="1" applyFont="1" applyBorder="1" applyAlignment="1">
      <alignment vertical="center" wrapText="1"/>
    </xf>
    <xf numFmtId="0" fontId="27" fillId="0" borderId="21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176" fontId="20" fillId="0" borderId="85" xfId="0" applyNumberFormat="1" applyFont="1" applyBorder="1" applyAlignment="1">
      <alignment horizontal="left" vertical="center"/>
    </xf>
    <xf numFmtId="176" fontId="20" fillId="0" borderId="24" xfId="0" applyNumberFormat="1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25" xfId="0" applyNumberFormat="1" applyFont="1" applyBorder="1" applyAlignment="1">
      <alignment horizontal="left" vertical="center"/>
    </xf>
    <xf numFmtId="176" fontId="20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center" vertical="center"/>
    </xf>
    <xf numFmtId="176" fontId="24" fillId="0" borderId="9" xfId="0" applyNumberFormat="1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center" vertical="center"/>
    </xf>
    <xf numFmtId="176" fontId="24" fillId="0" borderId="8" xfId="0" applyNumberFormat="1" applyFont="1" applyBorder="1" applyAlignment="1">
      <alignment horizontal="right" vertical="center"/>
    </xf>
    <xf numFmtId="0" fontId="27" fillId="0" borderId="9" xfId="0" applyFont="1" applyBorder="1" applyAlignment="1">
      <alignment horizontal="right" vertical="center"/>
    </xf>
    <xf numFmtId="176" fontId="24" fillId="0" borderId="8" xfId="0" applyNumberFormat="1" applyFont="1" applyBorder="1" applyAlignment="1">
      <alignment horizontal="left" vertical="center" wrapText="1"/>
    </xf>
    <xf numFmtId="176" fontId="24" fillId="0" borderId="9" xfId="0" applyNumberFormat="1" applyFont="1" applyBorder="1" applyAlignment="1">
      <alignment horizontal="left" vertical="center" wrapText="1"/>
    </xf>
    <xf numFmtId="176" fontId="24" fillId="0" borderId="14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20" fillId="0" borderId="22" xfId="0" applyFont="1" applyBorder="1" applyAlignment="1">
      <alignment horizontal="right" vertical="center"/>
    </xf>
    <xf numFmtId="0" fontId="19" fillId="0" borderId="87" xfId="0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179" fontId="19" fillId="0" borderId="49" xfId="0" applyNumberFormat="1" applyFont="1" applyBorder="1" applyAlignment="1">
      <alignment horizontal="center" vertical="center" wrapText="1"/>
    </xf>
    <xf numFmtId="179" fontId="19" fillId="0" borderId="50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distributed" vertical="center"/>
    </xf>
    <xf numFmtId="0" fontId="23" fillId="0" borderId="6" xfId="0" applyFont="1" applyBorder="1" applyAlignment="1">
      <alignment vertical="center"/>
    </xf>
    <xf numFmtId="176" fontId="24" fillId="0" borderId="9" xfId="0" applyNumberFormat="1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26" fillId="0" borderId="8" xfId="0" applyNumberFormat="1" applyFont="1" applyBorder="1" applyAlignment="1">
      <alignment horizontal="left" vertical="center"/>
    </xf>
    <xf numFmtId="176" fontId="26" fillId="0" borderId="9" xfId="0" applyNumberFormat="1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left" vertical="center"/>
    </xf>
    <xf numFmtId="179" fontId="24" fillId="0" borderId="84" xfId="0" applyNumberFormat="1" applyFont="1" applyBorder="1" applyAlignment="1">
      <alignment horizontal="left" vertical="center"/>
    </xf>
    <xf numFmtId="179" fontId="24" fillId="0" borderId="85" xfId="0" applyNumberFormat="1" applyFont="1" applyBorder="1" applyAlignment="1">
      <alignment horizontal="left" vertical="center"/>
    </xf>
    <xf numFmtId="179" fontId="24" fillId="0" borderId="24" xfId="0" applyNumberFormat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/>
    </xf>
    <xf numFmtId="179" fontId="24" fillId="0" borderId="9" xfId="0" applyNumberFormat="1" applyFont="1" applyBorder="1" applyAlignment="1">
      <alignment horizontal="left" vertical="center"/>
    </xf>
    <xf numFmtId="179" fontId="24" fillId="0" borderId="14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left" vertical="center"/>
    </xf>
    <xf numFmtId="179" fontId="24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14" xfId="0" applyNumberFormat="1" applyFont="1" applyBorder="1" applyAlignment="1">
      <alignment horizontal="center" vertical="center"/>
    </xf>
    <xf numFmtId="176" fontId="24" fillId="0" borderId="8" xfId="0" applyNumberFormat="1" applyFont="1" applyBorder="1" applyAlignment="1">
      <alignment vertical="center" wrapText="1"/>
    </xf>
    <xf numFmtId="176" fontId="24" fillId="0" borderId="9" xfId="0" applyNumberFormat="1" applyFont="1" applyBorder="1" applyAlignment="1">
      <alignment vertical="center" wrapText="1"/>
    </xf>
    <xf numFmtId="176" fontId="24" fillId="0" borderId="14" xfId="0" applyNumberFormat="1" applyFont="1" applyBorder="1" applyAlignment="1">
      <alignment vertical="center" wrapText="1"/>
    </xf>
    <xf numFmtId="176" fontId="25" fillId="0" borderId="8" xfId="0" applyNumberFormat="1" applyFont="1" applyBorder="1" applyAlignment="1">
      <alignment horizontal="left" vertical="center" wrapText="1"/>
    </xf>
    <xf numFmtId="176" fontId="25" fillId="0" borderId="9" xfId="0" applyNumberFormat="1" applyFont="1" applyBorder="1" applyAlignment="1">
      <alignment horizontal="left" vertical="center"/>
    </xf>
    <xf numFmtId="176" fontId="25" fillId="0" borderId="14" xfId="0" applyNumberFormat="1" applyFont="1" applyBorder="1" applyAlignment="1">
      <alignment horizontal="left" vertical="center"/>
    </xf>
    <xf numFmtId="176" fontId="24" fillId="0" borderId="84" xfId="0" applyNumberFormat="1" applyFont="1" applyBorder="1" applyAlignment="1">
      <alignment vertical="center" wrapText="1"/>
    </xf>
    <xf numFmtId="176" fontId="24" fillId="0" borderId="85" xfId="0" applyNumberFormat="1" applyFont="1" applyBorder="1" applyAlignment="1">
      <alignment vertical="center" wrapText="1"/>
    </xf>
    <xf numFmtId="176" fontId="24" fillId="0" borderId="24" xfId="0" applyNumberFormat="1" applyFont="1" applyBorder="1" applyAlignment="1">
      <alignment vertical="center" wrapText="1"/>
    </xf>
    <xf numFmtId="176" fontId="24" fillId="0" borderId="139" xfId="0" applyNumberFormat="1" applyFont="1" applyBorder="1" applyAlignment="1">
      <alignment horizontal="left" vertical="center"/>
    </xf>
    <xf numFmtId="176" fontId="24" fillId="0" borderId="22" xfId="0" applyNumberFormat="1" applyFont="1" applyBorder="1" applyAlignment="1">
      <alignment horizontal="left" vertical="center"/>
    </xf>
    <xf numFmtId="176" fontId="24" fillId="0" borderId="140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25" xfId="0" applyNumberFormat="1" applyFont="1" applyBorder="1" applyAlignment="1">
      <alignment horizontal="center" vertical="center"/>
    </xf>
    <xf numFmtId="176" fontId="24" fillId="0" borderId="35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 wrapText="1" shrinkToFit="1"/>
    </xf>
    <xf numFmtId="179" fontId="24" fillId="0" borderId="9" xfId="0" applyNumberFormat="1" applyFont="1" applyBorder="1" applyAlignment="1">
      <alignment horizontal="left" vertical="center" wrapText="1" shrinkToFit="1"/>
    </xf>
    <xf numFmtId="179" fontId="24" fillId="0" borderId="14" xfId="0" applyNumberFormat="1" applyFont="1" applyBorder="1" applyAlignment="1">
      <alignment horizontal="left" vertical="center" wrapText="1" shrinkToFit="1"/>
    </xf>
    <xf numFmtId="179" fontId="24" fillId="0" borderId="83" xfId="0" applyNumberFormat="1" applyFont="1" applyBorder="1" applyAlignment="1">
      <alignment horizontal="left" vertical="center"/>
    </xf>
    <xf numFmtId="179" fontId="24" fillId="0" borderId="68" xfId="0" applyNumberFormat="1" applyFont="1" applyBorder="1" applyAlignment="1">
      <alignment horizontal="left" vertical="center"/>
    </xf>
    <xf numFmtId="179" fontId="24" fillId="0" borderId="15" xfId="0" applyNumberFormat="1" applyFont="1" applyBorder="1" applyAlignment="1">
      <alignment horizontal="center" vertical="center"/>
    </xf>
    <xf numFmtId="179" fontId="24" fillId="0" borderId="25" xfId="0" applyNumberFormat="1" applyFont="1" applyBorder="1" applyAlignment="1">
      <alignment horizontal="center" vertical="center"/>
    </xf>
    <xf numFmtId="179" fontId="24" fillId="0" borderId="35" xfId="0" applyNumberFormat="1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/>
    </xf>
    <xf numFmtId="179" fontId="24" fillId="0" borderId="71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vertical="center" wrapText="1" shrinkToFit="1"/>
    </xf>
    <xf numFmtId="179" fontId="24" fillId="0" borderId="9" xfId="0" applyNumberFormat="1" applyFont="1" applyBorder="1" applyAlignment="1">
      <alignment vertical="center" shrinkToFit="1"/>
    </xf>
    <xf numFmtId="179" fontId="24" fillId="0" borderId="14" xfId="0" applyNumberFormat="1" applyFont="1" applyBorder="1" applyAlignment="1">
      <alignment vertical="center" shrinkToFit="1"/>
    </xf>
    <xf numFmtId="179" fontId="24" fillId="0" borderId="8" xfId="0" applyNumberFormat="1" applyFont="1" applyFill="1" applyBorder="1" applyAlignment="1">
      <alignment horizontal="left" vertical="center" shrinkToFit="1"/>
    </xf>
    <xf numFmtId="179" fontId="24" fillId="0" borderId="9" xfId="0" applyNumberFormat="1" applyFont="1" applyFill="1" applyBorder="1" applyAlignment="1">
      <alignment horizontal="left" vertical="center" shrinkToFit="1"/>
    </xf>
    <xf numFmtId="179" fontId="24" fillId="0" borderId="14" xfId="0" applyNumberFormat="1" applyFont="1" applyFill="1" applyBorder="1" applyAlignment="1">
      <alignment horizontal="left" vertical="center" shrinkToFit="1"/>
    </xf>
    <xf numFmtId="179" fontId="20" fillId="0" borderId="6" xfId="0" applyNumberFormat="1" applyFont="1" applyBorder="1" applyAlignment="1">
      <alignment horizontal="left" vertical="center" wrapText="1"/>
    </xf>
    <xf numFmtId="179" fontId="20" fillId="0" borderId="6" xfId="0" applyNumberFormat="1" applyFont="1" applyBorder="1" applyAlignment="1">
      <alignment horizontal="left" vertical="center"/>
    </xf>
    <xf numFmtId="179" fontId="20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left" vertical="center" shrinkToFit="1"/>
    </xf>
    <xf numFmtId="179" fontId="24" fillId="0" borderId="9" xfId="0" applyNumberFormat="1" applyFont="1" applyBorder="1" applyAlignment="1">
      <alignment horizontal="left" vertical="center" shrinkToFit="1"/>
    </xf>
    <xf numFmtId="179" fontId="24" fillId="0" borderId="14" xfId="0" applyNumberFormat="1" applyFont="1" applyBorder="1" applyAlignment="1">
      <alignment horizontal="left" vertical="center" shrinkToFit="1"/>
    </xf>
    <xf numFmtId="179" fontId="24" fillId="0" borderId="8" xfId="0" applyNumberFormat="1" applyFont="1" applyBorder="1" applyAlignment="1">
      <alignment horizontal="center" vertical="center" shrinkToFit="1"/>
    </xf>
    <xf numFmtId="179" fontId="24" fillId="0" borderId="9" xfId="0" applyNumberFormat="1" applyFont="1" applyBorder="1" applyAlignment="1">
      <alignment horizontal="center" vertical="center" shrinkToFit="1"/>
    </xf>
    <xf numFmtId="179" fontId="24" fillId="0" borderId="14" xfId="0" applyNumberFormat="1" applyFont="1" applyBorder="1" applyAlignment="1">
      <alignment horizontal="center" vertical="center" shrinkToFit="1"/>
    </xf>
    <xf numFmtId="179" fontId="20" fillId="0" borderId="8" xfId="0" applyNumberFormat="1" applyFont="1" applyBorder="1" applyAlignment="1">
      <alignment horizontal="left" vertical="center" wrapText="1"/>
    </xf>
    <xf numFmtId="179" fontId="20" fillId="0" borderId="9" xfId="0" applyNumberFormat="1" applyFont="1" applyBorder="1" applyAlignment="1">
      <alignment horizontal="left" vertical="center" wrapText="1"/>
    </xf>
    <xf numFmtId="179" fontId="20" fillId="0" borderId="14" xfId="0" applyNumberFormat="1" applyFont="1" applyBorder="1" applyAlignment="1">
      <alignment horizontal="left" vertical="center" wrapText="1"/>
    </xf>
    <xf numFmtId="179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 wrapText="1"/>
    </xf>
    <xf numFmtId="0" fontId="19" fillId="0" borderId="90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9" fontId="20" fillId="0" borderId="8" xfId="0" applyNumberFormat="1" applyFont="1" applyBorder="1" applyAlignment="1">
      <alignment horizontal="left" vertical="center" wrapText="1" shrinkToFit="1"/>
    </xf>
    <xf numFmtId="179" fontId="20" fillId="0" borderId="9" xfId="0" applyNumberFormat="1" applyFont="1" applyBorder="1" applyAlignment="1">
      <alignment horizontal="left" vertical="center" shrinkToFit="1"/>
    </xf>
    <xf numFmtId="179" fontId="20" fillId="0" borderId="14" xfId="0" applyNumberFormat="1" applyFont="1" applyBorder="1" applyAlignment="1">
      <alignment horizontal="left" vertical="center" shrinkToFit="1"/>
    </xf>
    <xf numFmtId="179" fontId="24" fillId="0" borderId="15" xfId="0" applyNumberFormat="1" applyFont="1" applyBorder="1" applyAlignment="1">
      <alignment horizontal="left" vertical="center" shrinkToFit="1"/>
    </xf>
    <xf numFmtId="179" fontId="24" fillId="0" borderId="25" xfId="0" applyNumberFormat="1" applyFont="1" applyBorder="1" applyAlignment="1">
      <alignment horizontal="left" vertical="center" shrinkToFit="1"/>
    </xf>
    <xf numFmtId="179" fontId="24" fillId="0" borderId="35" xfId="0" applyNumberFormat="1" applyFont="1" applyBorder="1" applyAlignment="1">
      <alignment horizontal="left" vertical="center" shrinkToFit="1"/>
    </xf>
    <xf numFmtId="179" fontId="24" fillId="0" borderId="84" xfId="0" applyNumberFormat="1" applyFont="1" applyBorder="1" applyAlignment="1">
      <alignment horizontal="left" vertical="center" shrinkToFit="1"/>
    </xf>
    <xf numFmtId="179" fontId="24" fillId="0" borderId="85" xfId="0" applyNumberFormat="1" applyFont="1" applyBorder="1" applyAlignment="1">
      <alignment horizontal="left" vertical="center" shrinkToFit="1"/>
    </xf>
    <xf numFmtId="179" fontId="24" fillId="0" borderId="24" xfId="0" applyNumberFormat="1" applyFont="1" applyBorder="1" applyAlignment="1">
      <alignment horizontal="left" vertical="center" shrinkToFit="1"/>
    </xf>
    <xf numFmtId="0" fontId="20" fillId="0" borderId="1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 shrinkToFit="1"/>
    </xf>
    <xf numFmtId="179" fontId="24" fillId="0" borderId="71" xfId="0" applyNumberFormat="1" applyFont="1" applyBorder="1" applyAlignment="1">
      <alignment horizontal="left" vertical="center" shrinkToFit="1"/>
    </xf>
    <xf numFmtId="179" fontId="24" fillId="0" borderId="6" xfId="0" applyNumberFormat="1" applyFont="1" applyBorder="1" applyAlignment="1">
      <alignment horizontal="left" vertical="center" shrinkToFit="1"/>
    </xf>
    <xf numFmtId="179" fontId="24" fillId="0" borderId="33" xfId="0" applyNumberFormat="1" applyFont="1" applyBorder="1" applyAlignment="1">
      <alignment horizontal="left" vertical="center" shrinkToFit="1"/>
    </xf>
    <xf numFmtId="179" fontId="24" fillId="0" borderId="3" xfId="0" applyNumberFormat="1" applyFont="1" applyBorder="1" applyAlignment="1">
      <alignment horizontal="left" vertical="center" shrinkToFit="1"/>
    </xf>
    <xf numFmtId="179" fontId="24" fillId="0" borderId="36" xfId="0" applyNumberFormat="1" applyFont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left" vertical="center" wrapText="1" shrinkToFit="1"/>
    </xf>
    <xf numFmtId="176" fontId="24" fillId="0" borderId="9" xfId="0" applyNumberFormat="1" applyFont="1" applyBorder="1" applyAlignment="1">
      <alignment horizontal="left" vertical="center" shrinkToFit="1"/>
    </xf>
    <xf numFmtId="176" fontId="24" fillId="0" borderId="14" xfId="0" applyNumberFormat="1" applyFont="1" applyBorder="1" applyAlignment="1">
      <alignment horizontal="left" vertical="center" shrinkToFit="1"/>
    </xf>
    <xf numFmtId="0" fontId="20" fillId="12" borderId="15" xfId="0" applyFont="1" applyFill="1" applyBorder="1" applyAlignment="1">
      <alignment horizontal="center" vertical="center"/>
    </xf>
    <xf numFmtId="0" fontId="20" fillId="12" borderId="26" xfId="0" applyFont="1" applyFill="1" applyBorder="1" applyAlignment="1">
      <alignment horizontal="center" vertical="center"/>
    </xf>
    <xf numFmtId="179" fontId="24" fillId="12" borderId="15" xfId="0" applyNumberFormat="1" applyFont="1" applyFill="1" applyBorder="1" applyAlignment="1">
      <alignment horizontal="left" vertical="center" shrinkToFit="1"/>
    </xf>
    <xf numFmtId="179" fontId="24" fillId="12" borderId="25" xfId="0" applyNumberFormat="1" applyFont="1" applyFill="1" applyBorder="1" applyAlignment="1">
      <alignment horizontal="left" vertical="center" shrinkToFit="1"/>
    </xf>
    <xf numFmtId="179" fontId="24" fillId="12" borderId="35" xfId="0" applyNumberFormat="1" applyFont="1" applyFill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left" vertical="center" shrinkToFit="1"/>
    </xf>
    <xf numFmtId="176" fontId="20" fillId="0" borderId="9" xfId="0" applyNumberFormat="1" applyFont="1" applyBorder="1" applyAlignment="1">
      <alignment horizontal="left" vertical="center" wrapText="1"/>
    </xf>
    <xf numFmtId="176" fontId="20" fillId="0" borderId="14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center" vertical="center" shrinkToFit="1"/>
    </xf>
    <xf numFmtId="176" fontId="24" fillId="0" borderId="9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4" fillId="0" borderId="8" xfId="0" applyNumberFormat="1" applyFont="1" applyBorder="1" applyAlignment="1">
      <alignment vertical="center" wrapText="1" shrinkToFit="1"/>
    </xf>
    <xf numFmtId="176" fontId="24" fillId="0" borderId="9" xfId="0" applyNumberFormat="1" applyFont="1" applyBorder="1" applyAlignment="1">
      <alignment vertical="center" wrapText="1" shrinkToFit="1"/>
    </xf>
    <xf numFmtId="176" fontId="24" fillId="0" borderId="14" xfId="0" applyNumberFormat="1" applyFont="1" applyBorder="1" applyAlignment="1">
      <alignment vertical="center" wrapText="1" shrinkToFit="1"/>
    </xf>
    <xf numFmtId="179" fontId="24" fillId="0" borderId="83" xfId="0" applyNumberFormat="1" applyFont="1" applyBorder="1" applyAlignment="1">
      <alignment horizontal="left" vertical="center" shrinkToFit="1"/>
    </xf>
    <xf numFmtId="179" fontId="24" fillId="0" borderId="68" xfId="0" applyNumberFormat="1" applyFont="1" applyBorder="1" applyAlignment="1">
      <alignment horizontal="left" vertical="center" shrinkToFit="1"/>
    </xf>
    <xf numFmtId="179" fontId="24" fillId="12" borderId="15" xfId="0" applyNumberFormat="1" applyFont="1" applyFill="1" applyBorder="1" applyAlignment="1">
      <alignment horizontal="center" vertical="center" shrinkToFit="1"/>
    </xf>
    <xf numFmtId="179" fontId="24" fillId="12" borderId="25" xfId="0" applyNumberFormat="1" applyFont="1" applyFill="1" applyBorder="1" applyAlignment="1">
      <alignment horizontal="center" vertical="center" shrinkToFit="1"/>
    </xf>
    <xf numFmtId="179" fontId="24" fillId="12" borderId="35" xfId="0" applyNumberFormat="1" applyFont="1" applyFill="1" applyBorder="1" applyAlignment="1">
      <alignment horizontal="center" vertical="center" shrinkToFit="1"/>
    </xf>
    <xf numFmtId="0" fontId="20" fillId="12" borderId="8" xfId="0" applyFont="1" applyFill="1" applyBorder="1" applyAlignment="1">
      <alignment horizontal="distributed" vertical="center"/>
    </xf>
    <xf numFmtId="0" fontId="20" fillId="12" borderId="30" xfId="0" applyFont="1" applyFill="1" applyBorder="1" applyAlignment="1">
      <alignment horizontal="distributed" vertical="center"/>
    </xf>
    <xf numFmtId="179" fontId="24" fillId="12" borderId="6" xfId="0" applyNumberFormat="1" applyFont="1" applyFill="1" applyBorder="1" applyAlignment="1">
      <alignment horizontal="left" vertical="center" shrinkToFit="1"/>
    </xf>
    <xf numFmtId="179" fontId="24" fillId="12" borderId="33" xfId="0" applyNumberFormat="1" applyFont="1" applyFill="1" applyBorder="1" applyAlignment="1">
      <alignment horizontal="left" vertical="center" shrinkToFit="1"/>
    </xf>
    <xf numFmtId="176" fontId="24" fillId="0" borderId="8" xfId="0" applyNumberFormat="1" applyFont="1" applyFill="1" applyBorder="1" applyAlignment="1">
      <alignment horizontal="left" vertical="center" wrapText="1"/>
    </xf>
    <xf numFmtId="176" fontId="24" fillId="0" borderId="9" xfId="0" applyNumberFormat="1" applyFont="1" applyFill="1" applyBorder="1" applyAlignment="1">
      <alignment horizontal="left" vertical="center" wrapText="1"/>
    </xf>
    <xf numFmtId="176" fontId="24" fillId="0" borderId="14" xfId="0" applyNumberFormat="1" applyFont="1" applyFill="1" applyBorder="1" applyAlignment="1">
      <alignment horizontal="left" vertical="center" wrapText="1"/>
    </xf>
    <xf numFmtId="0" fontId="20" fillId="12" borderId="8" xfId="0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12" borderId="8" xfId="0" applyFont="1" applyFill="1" applyBorder="1" applyAlignment="1">
      <alignment horizontal="distributed" vertical="center"/>
    </xf>
    <xf numFmtId="0" fontId="23" fillId="12" borderId="30" xfId="0" applyFont="1" applyFill="1" applyBorder="1" applyAlignment="1">
      <alignment horizontal="distributed" vertical="center"/>
    </xf>
    <xf numFmtId="0" fontId="19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 shrinkToFit="1"/>
    </xf>
    <xf numFmtId="0" fontId="19" fillId="0" borderId="5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9" fillId="0" borderId="102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15" fillId="0" borderId="96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0" fontId="23" fillId="0" borderId="48" xfId="0" applyFont="1" applyBorder="1" applyAlignment="1">
      <alignment horizontal="center" vertical="center" shrinkToFit="1"/>
    </xf>
    <xf numFmtId="0" fontId="19" fillId="0" borderId="56" xfId="0" applyFont="1" applyBorder="1" applyAlignment="1">
      <alignment horizontal="center" vertical="center" shrinkToFit="1"/>
    </xf>
  </cellXfs>
  <cellStyles count="25">
    <cellStyle name="Header1" xfId="9"/>
    <cellStyle name="Header2" xfId="10"/>
    <cellStyle name="백분율" xfId="21" builtinId="5"/>
    <cellStyle name="백분율 2" xfId="23"/>
    <cellStyle name="쉼표 [0]" xfId="1" builtinId="6"/>
    <cellStyle name="쉼표 [0] 2" xfId="2"/>
    <cellStyle name="쉼표 [0] 2 2" xfId="11"/>
    <cellStyle name="쉼표 [0] 2 2 2" xfId="15"/>
    <cellStyle name="쉼표 [0] 2 3" xfId="13"/>
    <cellStyle name="쉼표 [0] 3" xfId="3"/>
    <cellStyle name="쉼표 [0] 3 2" xfId="14"/>
    <cellStyle name="쉼표 [0] 4" xfId="12"/>
    <cellStyle name="쉼표 [0] 5" xfId="18"/>
    <cellStyle name="콤마 [0]_95" xfId="4"/>
    <cellStyle name="콤마_95" xfId="5"/>
    <cellStyle name="통화 [0]" xfId="16" builtinId="7"/>
    <cellStyle name="표준" xfId="0" builtinId="0"/>
    <cellStyle name="표준 2" xfId="6"/>
    <cellStyle name="표준 2 2" xfId="7"/>
    <cellStyle name="표준 3" xfId="8"/>
    <cellStyle name="표준 4" xfId="17"/>
    <cellStyle name="표준 5" xfId="19"/>
    <cellStyle name="표준 6" xfId="20"/>
    <cellStyle name="표준_2006년 푸드뱅크 보조금신청서" xfId="22"/>
    <cellStyle name="하이퍼링크" xfId="24" builtinId="8"/>
  </cellStyles>
  <dxfs count="0"/>
  <tableStyles count="0" defaultTableStyle="TableStyleMedium9" defaultPivotStyle="PivotStyleLight16"/>
  <colors>
    <mruColors>
      <color rgb="FFFFFFCC"/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740</xdr:row>
      <xdr:rowOff>0</xdr:rowOff>
    </xdr:from>
    <xdr:to>
      <xdr:col>5</xdr:col>
      <xdr:colOff>0</xdr:colOff>
      <xdr:row>740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664</xdr:row>
      <xdr:rowOff>0</xdr:rowOff>
    </xdr:from>
    <xdr:to>
      <xdr:col>5</xdr:col>
      <xdr:colOff>0</xdr:colOff>
      <xdr:row>664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740</xdr:row>
      <xdr:rowOff>0</xdr:rowOff>
    </xdr:from>
    <xdr:to>
      <xdr:col>5</xdr:col>
      <xdr:colOff>0</xdr:colOff>
      <xdr:row>740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740</xdr:row>
      <xdr:rowOff>0</xdr:rowOff>
    </xdr:from>
    <xdr:to>
      <xdr:col>5</xdr:col>
      <xdr:colOff>0</xdr:colOff>
      <xdr:row>740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664</xdr:row>
      <xdr:rowOff>0</xdr:rowOff>
    </xdr:from>
    <xdr:to>
      <xdr:col>5</xdr:col>
      <xdr:colOff>0</xdr:colOff>
      <xdr:row>664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%20&#52980;&#54504;&#53552;/&#45436;&#48337;&#50500;&#47532;/d%20&#46300;&#46972;&#51060;&#48652;/P003-&#54924;&#44228;/&#50696;&#49328;&#49436;/2020&#45380;%20&#50696;&#49328;/2020&#45380;%201&#52264;&#52628;&#44221;%20&#49464;&#51077;.&#49464;&#52636;&#50696;&#49328;&#49436;(&#505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.국도시세입"/>
      <sheetName val="다-1.도시(군)세입"/>
      <sheetName val="다-2.자부담세입"/>
      <sheetName val="다-3.후원금세입"/>
      <sheetName val="라.국도비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</sheetNames>
    <sheetDataSet>
      <sheetData sheetId="0" refreshError="1"/>
      <sheetData sheetId="1" refreshError="1"/>
      <sheetData sheetId="2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</sheetData>
      <sheetData sheetId="3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2767810000</v>
          </cell>
        </row>
        <row r="12">
          <cell r="F12">
            <v>0</v>
          </cell>
        </row>
        <row r="14">
          <cell r="B14" t="str">
            <v>보조금수입</v>
          </cell>
        </row>
        <row r="15">
          <cell r="F15">
            <v>1933028813</v>
          </cell>
        </row>
        <row r="20">
          <cell r="C20" t="str">
            <v>시도보조금(30%)</v>
          </cell>
          <cell r="E20">
            <v>717435756</v>
          </cell>
          <cell r="F20">
            <v>829040577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4">
          <cell r="F34">
            <v>5170000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570610</v>
          </cell>
        </row>
        <row r="40">
          <cell r="F40">
            <v>0</v>
          </cell>
        </row>
      </sheetData>
      <sheetData sheetId="4" refreshError="1">
        <row r="14">
          <cell r="E14">
            <v>194551300</v>
          </cell>
          <cell r="F14">
            <v>197380630</v>
          </cell>
        </row>
        <row r="22">
          <cell r="C22" t="str">
            <v>기타보조금</v>
          </cell>
          <cell r="E22">
            <v>6720000</v>
          </cell>
          <cell r="F22">
            <v>6720000</v>
          </cell>
        </row>
        <row r="23">
          <cell r="F23">
            <v>3343190</v>
          </cell>
        </row>
        <row r="25">
          <cell r="F25">
            <v>3343190</v>
          </cell>
        </row>
        <row r="30">
          <cell r="F30">
            <v>66180</v>
          </cell>
        </row>
      </sheetData>
      <sheetData sheetId="5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256950000</v>
          </cell>
        </row>
        <row r="9">
          <cell r="E9">
            <v>134400000</v>
          </cell>
        </row>
        <row r="12">
          <cell r="E12">
            <v>0</v>
          </cell>
        </row>
        <row r="13">
          <cell r="E13">
            <v>0</v>
          </cell>
        </row>
        <row r="15">
          <cell r="E15">
            <v>0</v>
          </cell>
        </row>
        <row r="17">
          <cell r="E17">
            <v>0</v>
          </cell>
        </row>
        <row r="20">
          <cell r="E20">
            <v>0</v>
          </cell>
        </row>
        <row r="25">
          <cell r="E25">
            <v>40000000</v>
          </cell>
        </row>
        <row r="28">
          <cell r="E28">
            <v>22433122</v>
          </cell>
        </row>
        <row r="29">
          <cell r="E29">
            <v>0</v>
          </cell>
        </row>
        <row r="32">
          <cell r="E32">
            <v>500000</v>
          </cell>
        </row>
        <row r="33">
          <cell r="E33">
            <v>566878</v>
          </cell>
        </row>
        <row r="34">
          <cell r="E34">
            <v>59050000</v>
          </cell>
        </row>
      </sheetData>
      <sheetData sheetId="6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401500000</v>
          </cell>
        </row>
        <row r="14">
          <cell r="E14">
            <v>0</v>
          </cell>
        </row>
        <row r="18">
          <cell r="E18">
            <v>38500000</v>
          </cell>
        </row>
        <row r="19">
          <cell r="E19">
            <v>340000000</v>
          </cell>
        </row>
        <row r="20">
          <cell r="E20">
            <v>0</v>
          </cell>
        </row>
        <row r="31">
          <cell r="E31">
            <v>22458368</v>
          </cell>
        </row>
        <row r="36">
          <cell r="E36">
            <v>541632</v>
          </cell>
        </row>
      </sheetData>
      <sheetData sheetId="7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E6">
            <v>2415800000</v>
          </cell>
          <cell r="F6">
            <v>2767810000</v>
          </cell>
        </row>
        <row r="7">
          <cell r="Q7">
            <v>101815000</v>
          </cell>
        </row>
        <row r="8">
          <cell r="B8" t="str">
            <v>인건비</v>
          </cell>
        </row>
        <row r="9">
          <cell r="F9">
            <v>1615353000</v>
          </cell>
        </row>
        <row r="10">
          <cell r="F10">
            <v>514179280</v>
          </cell>
        </row>
        <row r="11">
          <cell r="F11">
            <v>157686600</v>
          </cell>
        </row>
        <row r="12">
          <cell r="F12">
            <v>335572680</v>
          </cell>
        </row>
        <row r="13">
          <cell r="F13">
            <v>20920000</v>
          </cell>
        </row>
        <row r="15">
          <cell r="F15">
            <v>179026890</v>
          </cell>
        </row>
        <row r="16">
          <cell r="F16">
            <v>208857220</v>
          </cell>
        </row>
        <row r="21">
          <cell r="F21">
            <v>0</v>
          </cell>
        </row>
        <row r="25">
          <cell r="F25">
            <v>0</v>
          </cell>
        </row>
        <row r="27">
          <cell r="F27">
            <v>0</v>
          </cell>
        </row>
        <row r="28">
          <cell r="F28">
            <v>9257550</v>
          </cell>
        </row>
        <row r="29">
          <cell r="F29">
            <v>45000000</v>
          </cell>
        </row>
        <row r="30">
          <cell r="F30">
            <v>3700450</v>
          </cell>
        </row>
        <row r="34">
          <cell r="F34">
            <v>4500000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330000</v>
          </cell>
        </row>
        <row r="40">
          <cell r="F40">
            <v>16100000</v>
          </cell>
        </row>
        <row r="43">
          <cell r="F43">
            <v>140739200</v>
          </cell>
        </row>
        <row r="44">
          <cell r="F44">
            <v>3543500</v>
          </cell>
        </row>
        <row r="45">
          <cell r="F45">
            <v>135608100</v>
          </cell>
        </row>
        <row r="46">
          <cell r="F46">
            <v>1587600</v>
          </cell>
        </row>
        <row r="47">
          <cell r="F47">
            <v>21500000</v>
          </cell>
        </row>
        <row r="51">
          <cell r="F51">
            <v>1427000</v>
          </cell>
        </row>
        <row r="52">
          <cell r="F52">
            <v>2098800</v>
          </cell>
        </row>
        <row r="58">
          <cell r="F58">
            <v>570610</v>
          </cell>
        </row>
        <row r="61">
          <cell r="F61">
            <v>5170000</v>
          </cell>
        </row>
      </sheetData>
      <sheetData sheetId="8" refreshError="1">
        <row r="6">
          <cell r="E6">
            <v>207420000</v>
          </cell>
          <cell r="F6">
            <v>207510000</v>
          </cell>
        </row>
        <row r="7">
          <cell r="F7">
            <v>155850630</v>
          </cell>
          <cell r="T7">
            <v>129367580</v>
          </cell>
        </row>
        <row r="8">
          <cell r="F8">
            <v>81016000</v>
          </cell>
        </row>
        <row r="9">
          <cell r="F9">
            <v>54712250</v>
          </cell>
        </row>
        <row r="13">
          <cell r="F13">
            <v>26483050</v>
          </cell>
        </row>
        <row r="14">
          <cell r="F14">
            <v>9209190</v>
          </cell>
        </row>
        <row r="15">
          <cell r="F15">
            <v>10913190</v>
          </cell>
        </row>
        <row r="21">
          <cell r="F21">
            <v>6600000</v>
          </cell>
        </row>
        <row r="22">
          <cell r="D22" t="str">
            <v>차량운영비</v>
          </cell>
          <cell r="F22">
            <v>3600000</v>
          </cell>
        </row>
        <row r="23">
          <cell r="D23" t="str">
            <v>환경개선사업</v>
          </cell>
          <cell r="F23">
            <v>0</v>
          </cell>
        </row>
        <row r="24">
          <cell r="D24" t="str">
            <v>간병인비</v>
          </cell>
          <cell r="F24">
            <v>3000000</v>
          </cell>
        </row>
        <row r="25">
          <cell r="F25">
            <v>32840000</v>
          </cell>
        </row>
        <row r="32">
          <cell r="F32">
            <v>6720000</v>
          </cell>
        </row>
        <row r="33">
          <cell r="F33">
            <v>2090000</v>
          </cell>
        </row>
        <row r="36">
          <cell r="F36">
            <v>66180</v>
          </cell>
        </row>
        <row r="39">
          <cell r="F39">
            <v>3343190</v>
          </cell>
        </row>
      </sheetData>
      <sheetData sheetId="9" refreshError="1">
        <row r="1">
          <cell r="W1">
            <v>256950000</v>
          </cell>
        </row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256950000</v>
          </cell>
        </row>
        <row r="12">
          <cell r="F12">
            <v>19000000</v>
          </cell>
        </row>
        <row r="26">
          <cell r="F26">
            <v>1583330</v>
          </cell>
        </row>
        <row r="27">
          <cell r="F27">
            <v>960390</v>
          </cell>
        </row>
        <row r="32">
          <cell r="F32">
            <v>12000000</v>
          </cell>
        </row>
        <row r="37">
          <cell r="F37">
            <v>2000000</v>
          </cell>
        </row>
        <row r="40">
          <cell r="F40">
            <v>6906280</v>
          </cell>
        </row>
        <row r="41">
          <cell r="F41">
            <v>50000000</v>
          </cell>
        </row>
        <row r="42">
          <cell r="F42">
            <v>2000000</v>
          </cell>
        </row>
        <row r="43">
          <cell r="F43">
            <v>500000</v>
          </cell>
        </row>
        <row r="44">
          <cell r="F44">
            <v>4000000</v>
          </cell>
        </row>
        <row r="47">
          <cell r="F47">
            <v>0</v>
          </cell>
        </row>
        <row r="48">
          <cell r="F48">
            <v>5000000</v>
          </cell>
        </row>
        <row r="49">
          <cell r="F49">
            <v>5000000</v>
          </cell>
        </row>
        <row r="52">
          <cell r="F52">
            <v>85000000</v>
          </cell>
        </row>
        <row r="53">
          <cell r="F53">
            <v>4000000</v>
          </cell>
        </row>
        <row r="54">
          <cell r="C54" t="str">
            <v>수용기관경비</v>
          </cell>
          <cell r="F54">
            <v>11000000</v>
          </cell>
        </row>
        <row r="57">
          <cell r="F57">
            <v>2000000</v>
          </cell>
        </row>
        <row r="75">
          <cell r="F75">
            <v>41000000</v>
          </cell>
        </row>
        <row r="77">
          <cell r="F77">
            <v>5000000</v>
          </cell>
        </row>
      </sheetData>
      <sheetData sheetId="10" refreshError="1">
        <row r="6">
          <cell r="F6">
            <v>401500000</v>
          </cell>
        </row>
        <row r="9">
          <cell r="F9">
            <v>3000000</v>
          </cell>
        </row>
        <row r="11">
          <cell r="F11">
            <v>9600000</v>
          </cell>
        </row>
        <row r="12">
          <cell r="F12">
            <v>0</v>
          </cell>
        </row>
        <row r="26">
          <cell r="F26">
            <v>250000</v>
          </cell>
        </row>
        <row r="27">
          <cell r="F27">
            <v>161310</v>
          </cell>
        </row>
        <row r="32">
          <cell r="F32">
            <v>25000000</v>
          </cell>
        </row>
        <row r="37">
          <cell r="F37">
            <v>0</v>
          </cell>
        </row>
        <row r="39">
          <cell r="F39">
            <v>2000000</v>
          </cell>
        </row>
        <row r="40">
          <cell r="F40">
            <v>41948585</v>
          </cell>
        </row>
        <row r="43">
          <cell r="F43">
            <v>40000000</v>
          </cell>
        </row>
        <row r="44">
          <cell r="F44">
            <v>8000000</v>
          </cell>
        </row>
        <row r="45">
          <cell r="F45">
            <v>18000000</v>
          </cell>
        </row>
        <row r="46">
          <cell r="F46">
            <v>3000000</v>
          </cell>
        </row>
        <row r="49">
          <cell r="F49">
            <v>0</v>
          </cell>
        </row>
        <row r="50">
          <cell r="F50">
            <v>102400000</v>
          </cell>
        </row>
        <row r="51">
          <cell r="F51">
            <v>101000000</v>
          </cell>
        </row>
        <row r="54">
          <cell r="F54">
            <v>5000000</v>
          </cell>
        </row>
        <row r="55">
          <cell r="F55">
            <v>4000000</v>
          </cell>
        </row>
        <row r="59">
          <cell r="F59">
            <v>1000000</v>
          </cell>
        </row>
        <row r="64">
          <cell r="F64">
            <v>0</v>
          </cell>
        </row>
        <row r="78">
          <cell r="F78">
            <v>30000000</v>
          </cell>
        </row>
        <row r="80">
          <cell r="F80">
            <v>0</v>
          </cell>
        </row>
        <row r="81">
          <cell r="F81">
            <v>3280000</v>
          </cell>
        </row>
        <row r="88">
          <cell r="F88">
            <v>2820000</v>
          </cell>
        </row>
        <row r="90">
          <cell r="F90">
            <v>1040105</v>
          </cell>
        </row>
      </sheetData>
      <sheetData sheetId="11" refreshError="1"/>
      <sheetData sheetId="12" refreshError="1"/>
      <sheetData sheetId="13" refreshError="1"/>
      <sheetData sheetId="14" refreshError="1">
        <row r="5">
          <cell r="F5">
            <v>1409045000</v>
          </cell>
          <cell r="S5">
            <v>25397900</v>
          </cell>
          <cell r="U5">
            <v>1874430180</v>
          </cell>
        </row>
        <row r="6">
          <cell r="U6">
            <v>57430500</v>
          </cell>
        </row>
        <row r="16">
          <cell r="Z16">
            <v>23030</v>
          </cell>
        </row>
        <row r="630">
          <cell r="U630">
            <v>30432000</v>
          </cell>
        </row>
        <row r="641">
          <cell r="Z641">
            <v>0</v>
          </cell>
        </row>
        <row r="676">
          <cell r="F676">
            <v>81016000</v>
          </cell>
          <cell r="M676">
            <v>8104800</v>
          </cell>
          <cell r="O676">
            <v>1200000</v>
          </cell>
          <cell r="R676">
            <v>18924400</v>
          </cell>
          <cell r="S676">
            <v>1085150</v>
          </cell>
          <cell r="W676">
            <v>9209190</v>
          </cell>
          <cell r="X676">
            <v>4977540</v>
          </cell>
          <cell r="Y676">
            <v>3679650</v>
          </cell>
          <cell r="Z676">
            <v>377320</v>
          </cell>
          <cell r="AA676">
            <v>994600</v>
          </cell>
          <cell r="AB676">
            <v>884080</v>
          </cell>
        </row>
        <row r="733">
          <cell r="U733">
            <v>280500000</v>
          </cell>
        </row>
      </sheetData>
      <sheetData sheetId="15" refreshError="1"/>
      <sheetData sheetId="16" refreshError="1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 refreshError="1">
        <row r="5">
          <cell r="L5">
            <v>0</v>
          </cell>
        </row>
      </sheetData>
      <sheetData sheetId="18" refreshError="1">
        <row r="8">
          <cell r="G8">
            <v>3543500</v>
          </cell>
        </row>
        <row r="10">
          <cell r="G10">
            <v>135608100</v>
          </cell>
        </row>
        <row r="11">
          <cell r="G11">
            <v>1587600</v>
          </cell>
        </row>
      </sheetData>
      <sheetData sheetId="19" refreshError="1">
        <row r="5">
          <cell r="O5">
            <v>14600000</v>
          </cell>
        </row>
        <row r="19">
          <cell r="O19">
            <v>4800000</v>
          </cell>
        </row>
        <row r="34">
          <cell r="O34">
            <v>6400000</v>
          </cell>
        </row>
        <row r="35">
          <cell r="O35">
            <v>3840000</v>
          </cell>
        </row>
        <row r="41">
          <cell r="O41">
            <v>3200000</v>
          </cell>
        </row>
      </sheetData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tabSelected="1" workbookViewId="0">
      <selection activeCell="A13" sqref="A13"/>
    </sheetView>
  </sheetViews>
  <sheetFormatPr defaultRowHeight="13.5" x14ac:dyDescent="0.15"/>
  <cols>
    <col min="1" max="1" width="114.5" style="93" customWidth="1"/>
    <col min="2" max="2" width="40.25" style="93" customWidth="1"/>
    <col min="3" max="3" width="46.625" style="93" customWidth="1"/>
    <col min="4" max="16384" width="9" style="93"/>
  </cols>
  <sheetData>
    <row r="4" spans="1:1" ht="20.25" x14ac:dyDescent="0.15">
      <c r="A4" s="613" t="s">
        <v>1150</v>
      </c>
    </row>
    <row r="5" spans="1:1" ht="20.25" x14ac:dyDescent="0.15">
      <c r="A5" s="613"/>
    </row>
    <row r="6" spans="1:1" ht="20.25" x14ac:dyDescent="0.15">
      <c r="A6" s="613"/>
    </row>
    <row r="7" spans="1:1" ht="20.25" x14ac:dyDescent="0.15">
      <c r="A7" s="613"/>
    </row>
    <row r="8" spans="1:1" ht="20.25" x14ac:dyDescent="0.15">
      <c r="A8" s="613"/>
    </row>
    <row r="9" spans="1:1" ht="20.25" x14ac:dyDescent="0.15">
      <c r="A9" s="613"/>
    </row>
    <row r="10" spans="1:1" ht="20.25" x14ac:dyDescent="0.15">
      <c r="A10" s="613"/>
    </row>
    <row r="11" spans="1:1" ht="79.5" customHeight="1" x14ac:dyDescent="0.15">
      <c r="A11" s="614" t="s">
        <v>1151</v>
      </c>
    </row>
    <row r="12" spans="1:1" ht="46.5" x14ac:dyDescent="0.15">
      <c r="A12" s="615" t="s">
        <v>630</v>
      </c>
    </row>
    <row r="13" spans="1:1" ht="46.5" x14ac:dyDescent="0.15">
      <c r="A13" s="614"/>
    </row>
    <row r="14" spans="1:1" ht="46.5" x14ac:dyDescent="0.15">
      <c r="A14" s="614"/>
    </row>
    <row r="15" spans="1:1" ht="46.5" x14ac:dyDescent="0.15">
      <c r="A15" s="614"/>
    </row>
    <row r="16" spans="1:1" ht="46.5" x14ac:dyDescent="0.15">
      <c r="A16" s="614"/>
    </row>
    <row r="17" spans="1:1" ht="19.5" customHeight="1" x14ac:dyDescent="0.15">
      <c r="A17" s="614"/>
    </row>
    <row r="18" spans="1:1" ht="19.5" customHeight="1" x14ac:dyDescent="0.15">
      <c r="A18" s="614"/>
    </row>
    <row r="19" spans="1:1" ht="19.5" customHeight="1" x14ac:dyDescent="0.15">
      <c r="A19" s="614"/>
    </row>
    <row r="23" spans="1:1" ht="19.5" x14ac:dyDescent="0.15">
      <c r="A23" s="616" t="s">
        <v>631</v>
      </c>
    </row>
    <row r="24" spans="1:1" ht="31.5" x14ac:dyDescent="0.15">
      <c r="A24" s="617" t="s">
        <v>632</v>
      </c>
    </row>
    <row r="67" spans="5:5" hidden="1" x14ac:dyDescent="0.15">
      <c r="E67" s="93">
        <v>0</v>
      </c>
    </row>
    <row r="73" spans="5:5" hidden="1" x14ac:dyDescent="0.15"/>
  </sheetData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1"/>
  <sheetViews>
    <sheetView zoomScaleNormal="100" workbookViewId="0">
      <selection activeCell="J35" sqref="J35"/>
    </sheetView>
  </sheetViews>
  <sheetFormatPr defaultRowHeight="18.75" x14ac:dyDescent="0.25"/>
  <cols>
    <col min="1" max="1" width="7.5" style="688" customWidth="1"/>
    <col min="2" max="2" width="5.625" style="688" customWidth="1"/>
    <col min="3" max="3" width="15" style="688" customWidth="1"/>
    <col min="4" max="4" width="18.125" style="688" customWidth="1"/>
    <col min="5" max="5" width="3.5" style="688" customWidth="1"/>
    <col min="6" max="6" width="7.25" style="688" customWidth="1"/>
    <col min="7" max="7" width="5.625" style="688" customWidth="1"/>
    <col min="8" max="8" width="13.625" style="688" customWidth="1"/>
    <col min="9" max="9" width="18.125" style="688" customWidth="1"/>
    <col min="10" max="10" width="10.625" style="688" customWidth="1"/>
    <col min="11" max="11" width="3.125" style="688" customWidth="1"/>
    <col min="12" max="13" width="9" style="688"/>
    <col min="14" max="14" width="20" style="688" customWidth="1"/>
    <col min="15" max="16384" width="9" style="688"/>
  </cols>
  <sheetData>
    <row r="2" spans="1:14" ht="24" customHeight="1" x14ac:dyDescent="0.25">
      <c r="A2" s="1249" t="s">
        <v>46</v>
      </c>
      <c r="B2" s="1249"/>
      <c r="C2" s="1249"/>
      <c r="D2" s="1249"/>
      <c r="E2" s="1249"/>
      <c r="F2" s="1249"/>
      <c r="G2" s="1249"/>
      <c r="H2" s="1249"/>
      <c r="I2" s="1249"/>
      <c r="J2" s="1249"/>
      <c r="K2" s="687"/>
    </row>
    <row r="3" spans="1:14" s="690" customFormat="1" ht="25.5" customHeight="1" x14ac:dyDescent="0.15">
      <c r="A3" s="689"/>
      <c r="B3" s="689"/>
      <c r="C3" s="689"/>
      <c r="D3" s="689"/>
      <c r="E3" s="689"/>
      <c r="F3" s="689"/>
      <c r="G3" s="689"/>
      <c r="H3" s="689"/>
      <c r="I3" s="689"/>
      <c r="J3" s="689"/>
      <c r="K3" s="689"/>
    </row>
    <row r="4" spans="1:14" s="690" customFormat="1" ht="15" customHeight="1" x14ac:dyDescent="0.15">
      <c r="A4" s="691" t="s">
        <v>44</v>
      </c>
      <c r="B4" s="691" t="s">
        <v>138</v>
      </c>
      <c r="C4" s="691"/>
      <c r="D4" s="691"/>
      <c r="E4" s="691"/>
      <c r="F4" s="691"/>
      <c r="G4" s="691"/>
      <c r="H4" s="691"/>
      <c r="I4" s="691"/>
      <c r="J4" s="691"/>
      <c r="K4" s="691"/>
    </row>
    <row r="5" spans="1:14" s="690" customFormat="1" ht="15" customHeight="1" x14ac:dyDescent="0.15">
      <c r="A5" s="692"/>
      <c r="B5" s="693" t="s">
        <v>1006</v>
      </c>
      <c r="C5" s="692"/>
      <c r="D5" s="692"/>
      <c r="E5" s="692"/>
      <c r="F5" s="692"/>
      <c r="G5" s="692"/>
      <c r="H5" s="692"/>
      <c r="I5" s="692"/>
      <c r="J5" s="692"/>
      <c r="K5" s="692"/>
    </row>
    <row r="6" spans="1:14" s="690" customFormat="1" ht="15" customHeight="1" x14ac:dyDescent="0.15">
      <c r="A6" s="692"/>
      <c r="B6" s="693" t="s">
        <v>42</v>
      </c>
      <c r="C6" s="692"/>
      <c r="D6" s="692"/>
      <c r="E6" s="692"/>
      <c r="F6" s="692"/>
      <c r="G6" s="692"/>
      <c r="H6" s="692"/>
      <c r="I6" s="692"/>
      <c r="J6" s="692"/>
      <c r="K6" s="692"/>
    </row>
    <row r="7" spans="1:14" s="690" customFormat="1" ht="11.25" customHeight="1" x14ac:dyDescent="0.15">
      <c r="A7" s="692"/>
      <c r="B7" s="692"/>
      <c r="C7" s="692"/>
      <c r="D7" s="692"/>
      <c r="E7" s="692"/>
      <c r="F7" s="692"/>
      <c r="G7" s="692"/>
      <c r="H7" s="692"/>
      <c r="I7" s="692"/>
      <c r="J7" s="692"/>
      <c r="K7" s="692"/>
    </row>
    <row r="8" spans="1:14" s="690" customFormat="1" ht="15" customHeight="1" x14ac:dyDescent="0.15">
      <c r="A8" s="691" t="s">
        <v>12</v>
      </c>
      <c r="B8" s="691" t="s">
        <v>13</v>
      </c>
      <c r="C8" s="691"/>
      <c r="D8" s="694">
        <f>'다. 세입내역서'!E6</f>
        <v>4265740000</v>
      </c>
      <c r="E8" s="691" t="s">
        <v>14</v>
      </c>
      <c r="F8" s="691"/>
      <c r="G8" s="691" t="s">
        <v>15</v>
      </c>
      <c r="H8" s="691"/>
      <c r="I8" s="691"/>
      <c r="J8" s="691"/>
      <c r="K8" s="691"/>
      <c r="N8" s="695"/>
    </row>
    <row r="9" spans="1:14" s="690" customFormat="1" ht="6.75" customHeight="1" x14ac:dyDescent="0.15">
      <c r="A9" s="691"/>
      <c r="B9" s="691"/>
      <c r="C9" s="691"/>
      <c r="D9" s="691"/>
      <c r="E9" s="691"/>
      <c r="F9" s="691"/>
      <c r="G9" s="691"/>
      <c r="H9" s="691"/>
      <c r="I9" s="691"/>
      <c r="J9" s="691"/>
      <c r="K9" s="691"/>
    </row>
    <row r="10" spans="1:14" s="690" customFormat="1" ht="15" customHeight="1" x14ac:dyDescent="0.15">
      <c r="A10" s="691"/>
      <c r="B10" s="694" t="s">
        <v>16</v>
      </c>
      <c r="C10" s="694"/>
      <c r="D10" s="694"/>
      <c r="E10" s="694"/>
      <c r="F10" s="694"/>
      <c r="G10" s="694"/>
      <c r="H10" s="694"/>
      <c r="I10" s="691"/>
      <c r="J10" s="691"/>
      <c r="K10" s="691"/>
      <c r="N10" s="695"/>
    </row>
    <row r="11" spans="1:14" s="690" customFormat="1" ht="15" customHeight="1" x14ac:dyDescent="0.15">
      <c r="A11" s="691"/>
      <c r="B11" s="694" t="s">
        <v>80</v>
      </c>
      <c r="C11" s="696" t="s">
        <v>139</v>
      </c>
      <c r="D11" s="694">
        <f>'나. 세입세출(총괄)'!E8</f>
        <v>84000000</v>
      </c>
      <c r="E11" s="694" t="s">
        <v>9</v>
      </c>
      <c r="F11" s="694"/>
      <c r="G11" s="694" t="s">
        <v>81</v>
      </c>
      <c r="H11" s="696" t="s">
        <v>140</v>
      </c>
      <c r="I11" s="697">
        <v>0</v>
      </c>
      <c r="J11" s="694" t="s">
        <v>9</v>
      </c>
      <c r="K11" s="691"/>
    </row>
    <row r="12" spans="1:14" s="690" customFormat="1" ht="15" customHeight="1" x14ac:dyDescent="0.15">
      <c r="A12" s="691"/>
      <c r="B12" s="694" t="s">
        <v>78</v>
      </c>
      <c r="C12" s="696" t="s">
        <v>141</v>
      </c>
      <c r="D12" s="694">
        <f>'나. 세입세출(총괄)'!E17</f>
        <v>3635150270</v>
      </c>
      <c r="E12" s="694" t="s">
        <v>9</v>
      </c>
      <c r="F12" s="694"/>
      <c r="G12" s="694" t="s">
        <v>82</v>
      </c>
      <c r="H12" s="696" t="s">
        <v>142</v>
      </c>
      <c r="I12" s="694">
        <f>'나. 세입세출(총괄)'!E25</f>
        <v>353400000</v>
      </c>
      <c r="J12" s="694" t="s">
        <v>9</v>
      </c>
      <c r="K12" s="691"/>
    </row>
    <row r="13" spans="1:14" s="690" customFormat="1" ht="15" customHeight="1" x14ac:dyDescent="0.15">
      <c r="A13" s="691"/>
      <c r="B13" s="694" t="s">
        <v>77</v>
      </c>
      <c r="C13" s="696" t="s">
        <v>143</v>
      </c>
      <c r="D13" s="694">
        <v>0</v>
      </c>
      <c r="E13" s="694" t="s">
        <v>9</v>
      </c>
      <c r="F13" s="694"/>
      <c r="G13" s="694" t="s">
        <v>83</v>
      </c>
      <c r="H13" s="696" t="s">
        <v>144</v>
      </c>
      <c r="I13" s="694">
        <f>'나. 세입세출(총괄)'!E31</f>
        <v>40000000</v>
      </c>
      <c r="J13" s="694" t="s">
        <v>9</v>
      </c>
      <c r="K13" s="691"/>
    </row>
    <row r="14" spans="1:14" s="690" customFormat="1" ht="15" customHeight="1" x14ac:dyDescent="0.15">
      <c r="A14" s="691"/>
      <c r="B14" s="694" t="s">
        <v>76</v>
      </c>
      <c r="C14" s="696" t="s">
        <v>145</v>
      </c>
      <c r="D14" s="694">
        <f>'나. 세입세출(총괄)'!E35</f>
        <v>103790000</v>
      </c>
      <c r="E14" s="694" t="s">
        <v>9</v>
      </c>
      <c r="F14" s="694"/>
      <c r="G14" s="694" t="s">
        <v>84</v>
      </c>
      <c r="H14" s="696" t="s">
        <v>146</v>
      </c>
      <c r="I14" s="694">
        <f>'나. 세입세출(총괄)'!E46</f>
        <v>49399730</v>
      </c>
      <c r="J14" s="694" t="s">
        <v>9</v>
      </c>
      <c r="K14" s="691"/>
    </row>
    <row r="15" spans="1:14" s="690" customFormat="1" ht="7.5" customHeight="1" x14ac:dyDescent="0.15">
      <c r="A15" s="691"/>
      <c r="B15" s="694"/>
      <c r="C15" s="694"/>
      <c r="D15" s="694"/>
      <c r="E15" s="694"/>
      <c r="F15" s="694"/>
      <c r="G15" s="694"/>
      <c r="H15" s="694"/>
      <c r="I15" s="694"/>
      <c r="J15" s="694"/>
      <c r="K15" s="691"/>
    </row>
    <row r="16" spans="1:14" s="690" customFormat="1" ht="15" customHeight="1" x14ac:dyDescent="0.15">
      <c r="A16" s="691"/>
      <c r="B16" s="694" t="s">
        <v>37</v>
      </c>
      <c r="C16" s="694"/>
      <c r="D16" s="694"/>
      <c r="E16" s="694"/>
      <c r="F16" s="694"/>
      <c r="G16" s="694"/>
      <c r="H16" s="694"/>
      <c r="I16" s="691"/>
      <c r="J16" s="691"/>
      <c r="K16" s="691"/>
      <c r="N16" s="695"/>
    </row>
    <row r="17" spans="1:14" s="690" customFormat="1" ht="15" customHeight="1" x14ac:dyDescent="0.15">
      <c r="A17" s="691"/>
      <c r="B17" s="694" t="s">
        <v>79</v>
      </c>
      <c r="C17" s="696" t="s">
        <v>147</v>
      </c>
      <c r="D17" s="694">
        <f>'나. 세입세출(총괄)'!L8</f>
        <v>3650290750</v>
      </c>
      <c r="E17" s="694" t="s">
        <v>9</v>
      </c>
      <c r="F17" s="694"/>
      <c r="G17" s="694" t="s">
        <v>81</v>
      </c>
      <c r="H17" s="696" t="s">
        <v>148</v>
      </c>
      <c r="I17" s="697">
        <f>'나. 세입세출(총괄)'!L25</f>
        <v>146933378</v>
      </c>
      <c r="J17" s="694" t="s">
        <v>9</v>
      </c>
      <c r="K17" s="691"/>
    </row>
    <row r="18" spans="1:14" s="690" customFormat="1" ht="15" customHeight="1" x14ac:dyDescent="0.15">
      <c r="A18" s="691"/>
      <c r="B18" s="694" t="s">
        <v>78</v>
      </c>
      <c r="C18" s="696" t="s">
        <v>149</v>
      </c>
      <c r="D18" s="694">
        <f>'나. 세입세출(총괄)'!L30</f>
        <v>416354042</v>
      </c>
      <c r="E18" s="694" t="s">
        <v>9</v>
      </c>
      <c r="F18" s="694"/>
      <c r="G18" s="694" t="s">
        <v>82</v>
      </c>
      <c r="H18" s="696" t="s">
        <v>150</v>
      </c>
      <c r="I18" s="694">
        <f>'나. 세입세출(총괄)'!L51</f>
        <v>549730</v>
      </c>
      <c r="J18" s="694" t="s">
        <v>9</v>
      </c>
      <c r="K18" s="691"/>
    </row>
    <row r="19" spans="1:14" s="690" customFormat="1" ht="15" customHeight="1" x14ac:dyDescent="0.15">
      <c r="A19" s="691"/>
      <c r="B19" s="694" t="s">
        <v>77</v>
      </c>
      <c r="C19" s="696" t="s">
        <v>151</v>
      </c>
      <c r="D19" s="694">
        <f>'나. 세입세출(총괄)'!L48</f>
        <v>1609200</v>
      </c>
      <c r="E19" s="694" t="s">
        <v>9</v>
      </c>
      <c r="F19" s="694"/>
      <c r="G19" s="694" t="s">
        <v>83</v>
      </c>
      <c r="H19" s="696" t="s">
        <v>152</v>
      </c>
      <c r="I19" s="694">
        <f>'나. 세입세출(총괄)'!L54</f>
        <v>50002900</v>
      </c>
      <c r="J19" s="694" t="s">
        <v>9</v>
      </c>
      <c r="K19" s="691"/>
    </row>
    <row r="20" spans="1:14" s="690" customFormat="1" ht="15" customHeight="1" x14ac:dyDescent="0.15">
      <c r="A20" s="691"/>
      <c r="B20" s="694"/>
      <c r="C20" s="696"/>
      <c r="D20" s="694"/>
      <c r="E20" s="694" t="s">
        <v>9</v>
      </c>
      <c r="F20" s="694"/>
      <c r="G20" s="694"/>
      <c r="H20" s="694"/>
      <c r="I20" s="694"/>
      <c r="J20" s="694"/>
      <c r="K20" s="691"/>
    </row>
    <row r="21" spans="1:14" s="690" customFormat="1" ht="7.5" customHeight="1" x14ac:dyDescent="0.15">
      <c r="A21" s="691"/>
      <c r="B21" s="694"/>
      <c r="C21" s="694"/>
      <c r="D21" s="694"/>
      <c r="E21" s="694"/>
      <c r="F21" s="694"/>
      <c r="G21" s="694"/>
      <c r="H21" s="694"/>
      <c r="I21" s="694"/>
      <c r="J21" s="694"/>
      <c r="K21" s="691"/>
    </row>
    <row r="22" spans="1:14" s="690" customFormat="1" ht="15" customHeight="1" x14ac:dyDescent="0.15">
      <c r="A22" s="691"/>
      <c r="B22" s="694" t="s">
        <v>17</v>
      </c>
      <c r="C22" s="694"/>
      <c r="D22" s="698"/>
      <c r="E22" s="694"/>
      <c r="F22" s="694"/>
      <c r="G22" s="699" t="s">
        <v>18</v>
      </c>
      <c r="I22" s="700">
        <v>0</v>
      </c>
      <c r="J22" s="694" t="s">
        <v>19</v>
      </c>
      <c r="K22" s="691"/>
    </row>
    <row r="23" spans="1:14" s="690" customFormat="1" ht="7.5" customHeight="1" x14ac:dyDescent="0.15">
      <c r="A23" s="691"/>
      <c r="B23" s="694"/>
      <c r="C23" s="694"/>
      <c r="D23" s="694"/>
      <c r="E23" s="694"/>
      <c r="F23" s="694"/>
      <c r="G23" s="699"/>
      <c r="I23" s="694"/>
      <c r="J23" s="694"/>
      <c r="K23" s="691"/>
    </row>
    <row r="24" spans="1:14" s="690" customFormat="1" ht="16.5" customHeight="1" x14ac:dyDescent="0.15">
      <c r="A24" s="691"/>
      <c r="B24" s="694" t="s">
        <v>41</v>
      </c>
      <c r="C24" s="694"/>
      <c r="D24" s="1250" t="s">
        <v>1346</v>
      </c>
      <c r="E24" s="1250"/>
      <c r="F24" s="1250"/>
      <c r="G24" s="1250"/>
      <c r="H24" s="1250"/>
      <c r="I24" s="701">
        <f>'라. 세출내역서'!U811</f>
        <v>2100000</v>
      </c>
      <c r="J24" s="694" t="s">
        <v>19</v>
      </c>
      <c r="K24" s="691"/>
      <c r="N24" s="702"/>
    </row>
    <row r="25" spans="1:14" s="690" customFormat="1" ht="13.5" x14ac:dyDescent="0.15">
      <c r="A25" s="691"/>
      <c r="B25" s="694"/>
      <c r="C25" s="694"/>
      <c r="D25" s="1248" t="s">
        <v>1347</v>
      </c>
      <c r="E25" s="1248"/>
      <c r="F25" s="1248"/>
      <c r="G25" s="1248"/>
      <c r="H25" s="1248"/>
      <c r="I25" s="701">
        <f>'라. 세출내역서'!K815</f>
        <v>9000000</v>
      </c>
      <c r="J25" s="694" t="s">
        <v>19</v>
      </c>
      <c r="K25" s="691"/>
      <c r="N25" s="702"/>
    </row>
    <row r="26" spans="1:14" s="690" customFormat="1" ht="13.7" hidden="1" customHeight="1" x14ac:dyDescent="0.15">
      <c r="A26" s="691"/>
      <c r="B26" s="694"/>
      <c r="C26" s="694"/>
      <c r="D26" s="1248" t="s">
        <v>1348</v>
      </c>
      <c r="E26" s="1248"/>
      <c r="F26" s="1248"/>
      <c r="G26" s="1248"/>
      <c r="H26" s="1248"/>
      <c r="J26" s="694" t="s">
        <v>19</v>
      </c>
      <c r="K26" s="691"/>
      <c r="N26" s="702"/>
    </row>
    <row r="27" spans="1:14" s="690" customFormat="1" ht="13.7" hidden="1" customHeight="1" x14ac:dyDescent="0.15">
      <c r="A27" s="691"/>
      <c r="B27" s="694"/>
      <c r="C27" s="694"/>
      <c r="D27" s="1248" t="s">
        <v>1345</v>
      </c>
      <c r="E27" s="1248"/>
      <c r="F27" s="1248"/>
      <c r="G27" s="1248"/>
      <c r="H27" s="1248"/>
      <c r="J27" s="694" t="s">
        <v>19</v>
      </c>
      <c r="K27" s="691"/>
      <c r="N27" s="702"/>
    </row>
    <row r="28" spans="1:14" s="690" customFormat="1" ht="13.5" hidden="1" x14ac:dyDescent="0.15">
      <c r="A28" s="691"/>
      <c r="B28" s="694"/>
      <c r="C28" s="694"/>
      <c r="D28" s="1248" t="s">
        <v>1344</v>
      </c>
      <c r="E28" s="1248"/>
      <c r="F28" s="1248"/>
      <c r="G28" s="1248"/>
      <c r="H28" s="1248"/>
      <c r="I28" s="701">
        <f>'라. 세출내역서'!E795</f>
        <v>0</v>
      </c>
      <c r="J28" s="694" t="s">
        <v>19</v>
      </c>
      <c r="K28" s="691"/>
      <c r="N28" s="702"/>
    </row>
    <row r="29" spans="1:14" s="690" customFormat="1" ht="13.7" hidden="1" customHeight="1" x14ac:dyDescent="0.15">
      <c r="A29" s="691"/>
      <c r="B29" s="694"/>
      <c r="C29" s="694"/>
      <c r="D29" s="1248" t="s">
        <v>1003</v>
      </c>
      <c r="E29" s="1248"/>
      <c r="F29" s="1248"/>
      <c r="G29" s="1248"/>
      <c r="H29" s="1248"/>
      <c r="I29" s="703"/>
      <c r="J29" s="694" t="s">
        <v>19</v>
      </c>
      <c r="K29" s="691"/>
      <c r="N29" s="702"/>
    </row>
    <row r="30" spans="1:14" s="690" customFormat="1" ht="15" customHeight="1" x14ac:dyDescent="0.15">
      <c r="A30" s="691" t="s">
        <v>20</v>
      </c>
      <c r="B30" s="691" t="s">
        <v>55</v>
      </c>
      <c r="C30" s="691"/>
      <c r="D30" s="691"/>
      <c r="E30" s="691"/>
      <c r="F30" s="691"/>
      <c r="G30" s="691"/>
      <c r="H30" s="691"/>
      <c r="I30" s="691"/>
      <c r="J30" s="691"/>
      <c r="K30" s="691"/>
    </row>
    <row r="31" spans="1:14" s="690" customFormat="1" ht="10.5" customHeight="1" x14ac:dyDescent="0.15">
      <c r="A31" s="691"/>
      <c r="B31" s="691"/>
      <c r="C31" s="691"/>
      <c r="D31" s="691"/>
      <c r="E31" s="691"/>
      <c r="F31" s="691"/>
      <c r="G31" s="691"/>
      <c r="H31" s="691"/>
      <c r="I31" s="691"/>
      <c r="J31" s="691"/>
      <c r="K31" s="691"/>
      <c r="M31" s="1247"/>
    </row>
    <row r="32" spans="1:14" s="690" customFormat="1" ht="15" customHeight="1" x14ac:dyDescent="0.15">
      <c r="A32" s="691" t="s">
        <v>21</v>
      </c>
      <c r="B32" s="691" t="s">
        <v>22</v>
      </c>
      <c r="C32" s="691"/>
      <c r="D32" s="691"/>
      <c r="E32" s="691"/>
      <c r="F32" s="691"/>
      <c r="G32" s="691"/>
      <c r="H32" s="691"/>
      <c r="I32" s="691"/>
      <c r="J32" s="691"/>
      <c r="K32" s="691"/>
    </row>
    <row r="33" spans="1:11" s="690" customFormat="1" ht="15" customHeight="1" x14ac:dyDescent="0.15">
      <c r="A33" s="691"/>
      <c r="B33" s="691" t="s">
        <v>23</v>
      </c>
      <c r="C33" s="691"/>
      <c r="D33" s="691"/>
      <c r="E33" s="691"/>
      <c r="F33" s="691"/>
      <c r="G33" s="691"/>
      <c r="H33" s="691"/>
      <c r="I33" s="691"/>
      <c r="J33" s="691"/>
      <c r="K33" s="691"/>
    </row>
    <row r="34" spans="1:11" s="690" customFormat="1" ht="10.5" customHeight="1" x14ac:dyDescent="0.15">
      <c r="A34" s="691"/>
      <c r="B34" s="691"/>
      <c r="C34" s="691"/>
      <c r="D34" s="691"/>
      <c r="E34" s="691"/>
      <c r="F34" s="691"/>
      <c r="G34" s="691"/>
      <c r="H34" s="691"/>
      <c r="I34" s="691"/>
      <c r="J34" s="691"/>
      <c r="K34" s="691"/>
    </row>
    <row r="35" spans="1:11" s="690" customFormat="1" ht="15" customHeight="1" x14ac:dyDescent="0.15">
      <c r="A35" s="691" t="s">
        <v>24</v>
      </c>
      <c r="B35" s="691" t="s">
        <v>25</v>
      </c>
      <c r="C35" s="691"/>
      <c r="D35" s="691"/>
      <c r="E35" s="691"/>
      <c r="F35" s="691"/>
      <c r="G35" s="691"/>
      <c r="H35" s="691"/>
      <c r="I35" s="691"/>
      <c r="J35" s="691"/>
      <c r="K35" s="691"/>
    </row>
    <row r="36" spans="1:11" s="690" customFormat="1" ht="15" customHeight="1" x14ac:dyDescent="0.15">
      <c r="A36" s="691"/>
      <c r="B36" s="691" t="s">
        <v>26</v>
      </c>
      <c r="C36" s="691"/>
      <c r="D36" s="691"/>
      <c r="E36" s="691"/>
      <c r="F36" s="691"/>
      <c r="G36" s="691"/>
      <c r="H36" s="691"/>
      <c r="I36" s="691"/>
      <c r="J36" s="691"/>
      <c r="K36" s="691"/>
    </row>
    <row r="37" spans="1:11" s="690" customFormat="1" ht="10.5" customHeight="1" x14ac:dyDescent="0.15">
      <c r="A37" s="691"/>
      <c r="B37" s="691"/>
      <c r="C37" s="691"/>
      <c r="D37" s="691"/>
      <c r="E37" s="691"/>
      <c r="F37" s="691"/>
      <c r="G37" s="691"/>
      <c r="H37" s="691"/>
      <c r="I37" s="691"/>
      <c r="J37" s="691"/>
      <c r="K37" s="691"/>
    </row>
    <row r="38" spans="1:11" s="690" customFormat="1" ht="15" customHeight="1" x14ac:dyDescent="0.15">
      <c r="A38" s="691" t="s">
        <v>27</v>
      </c>
      <c r="B38" s="691" t="s">
        <v>70</v>
      </c>
      <c r="C38" s="691"/>
      <c r="D38" s="691"/>
      <c r="E38" s="691"/>
      <c r="F38" s="691"/>
      <c r="G38" s="691"/>
      <c r="H38" s="691"/>
      <c r="I38" s="691"/>
      <c r="J38" s="691"/>
      <c r="K38" s="691"/>
    </row>
    <row r="39" spans="1:11" s="690" customFormat="1" ht="15" customHeight="1" x14ac:dyDescent="0.15">
      <c r="A39" s="691"/>
      <c r="B39" s="691" t="s">
        <v>86</v>
      </c>
      <c r="C39" s="691"/>
      <c r="D39" s="691"/>
      <c r="E39" s="691"/>
      <c r="F39" s="691"/>
      <c r="G39" s="691"/>
      <c r="H39" s="691"/>
      <c r="I39" s="691"/>
      <c r="J39" s="691"/>
      <c r="K39" s="691"/>
    </row>
    <row r="40" spans="1:11" s="690" customFormat="1" ht="10.5" customHeight="1" x14ac:dyDescent="0.15">
      <c r="A40" s="691"/>
      <c r="B40" s="691"/>
      <c r="C40" s="691"/>
      <c r="D40" s="691"/>
      <c r="E40" s="691"/>
      <c r="F40" s="691"/>
      <c r="G40" s="691"/>
      <c r="H40" s="691"/>
      <c r="I40" s="691"/>
      <c r="J40" s="691"/>
      <c r="K40" s="691"/>
    </row>
    <row r="41" spans="1:11" s="690" customFormat="1" ht="15" customHeight="1" x14ac:dyDescent="0.15">
      <c r="A41" s="691" t="s">
        <v>28</v>
      </c>
      <c r="B41" s="691" t="s">
        <v>29</v>
      </c>
      <c r="C41" s="691"/>
      <c r="D41" s="691"/>
      <c r="E41" s="691"/>
      <c r="F41" s="691"/>
      <c r="G41" s="691"/>
      <c r="H41" s="691"/>
      <c r="I41" s="691"/>
      <c r="J41" s="691"/>
      <c r="K41" s="691"/>
    </row>
    <row r="42" spans="1:11" s="690" customFormat="1" ht="15" customHeight="1" x14ac:dyDescent="0.15">
      <c r="A42" s="691"/>
      <c r="B42" s="691" t="s">
        <v>30</v>
      </c>
      <c r="C42" s="691"/>
      <c r="D42" s="691"/>
      <c r="E42" s="691"/>
      <c r="F42" s="691"/>
      <c r="G42" s="691"/>
      <c r="H42" s="691"/>
      <c r="I42" s="691"/>
      <c r="J42" s="691"/>
      <c r="K42" s="691"/>
    </row>
    <row r="43" spans="1:11" s="690" customFormat="1" ht="15" customHeight="1" x14ac:dyDescent="0.15">
      <c r="A43" s="691"/>
      <c r="B43" s="691" t="s">
        <v>31</v>
      </c>
      <c r="C43" s="691"/>
      <c r="D43" s="691"/>
      <c r="E43" s="691"/>
      <c r="F43" s="691"/>
      <c r="G43" s="691"/>
      <c r="H43" s="691"/>
      <c r="I43" s="691"/>
      <c r="J43" s="691"/>
      <c r="K43" s="691"/>
    </row>
    <row r="44" spans="1:11" s="690" customFormat="1" ht="10.5" customHeight="1" x14ac:dyDescent="0.15"/>
    <row r="45" spans="1:11" s="690" customFormat="1" ht="15" customHeight="1" x14ac:dyDescent="0.15">
      <c r="A45" s="690" t="s">
        <v>32</v>
      </c>
      <c r="B45" s="690" t="s">
        <v>34</v>
      </c>
    </row>
    <row r="46" spans="1:11" s="690" customFormat="1" ht="15" customHeight="1" x14ac:dyDescent="0.15">
      <c r="B46" s="690" t="s">
        <v>39</v>
      </c>
    </row>
    <row r="47" spans="1:11" s="690" customFormat="1" ht="15" customHeight="1" x14ac:dyDescent="0.15">
      <c r="B47" s="690" t="s">
        <v>35</v>
      </c>
    </row>
    <row r="48" spans="1:11" s="690" customFormat="1" ht="15" customHeight="1" x14ac:dyDescent="0.15">
      <c r="B48" s="690" t="s">
        <v>36</v>
      </c>
    </row>
    <row r="49" spans="1:2" s="690" customFormat="1" ht="13.7" customHeight="1" x14ac:dyDescent="0.15"/>
    <row r="50" spans="1:2" s="690" customFormat="1" ht="15" customHeight="1" x14ac:dyDescent="0.15">
      <c r="A50" s="690" t="s">
        <v>33</v>
      </c>
      <c r="B50" s="690" t="s">
        <v>38</v>
      </c>
    </row>
    <row r="51" spans="1:2" s="690" customFormat="1" ht="15" customHeight="1" x14ac:dyDescent="0.15">
      <c r="B51" s="690" t="s">
        <v>40</v>
      </c>
    </row>
    <row r="52" spans="1:2" s="690" customFormat="1" ht="15" customHeight="1" x14ac:dyDescent="0.15">
      <c r="B52" s="690" t="s">
        <v>43</v>
      </c>
    </row>
    <row r="53" spans="1:2" s="690" customFormat="1" ht="15" customHeight="1" x14ac:dyDescent="0.15"/>
    <row r="54" spans="1:2" s="690" customFormat="1" ht="15" customHeight="1" x14ac:dyDescent="0.15"/>
    <row r="55" spans="1:2" s="690" customFormat="1" ht="15" customHeight="1" x14ac:dyDescent="0.15"/>
    <row r="56" spans="1:2" s="690" customFormat="1" ht="15" customHeight="1" x14ac:dyDescent="0.15"/>
    <row r="57" spans="1:2" s="690" customFormat="1" ht="13.5" x14ac:dyDescent="0.15"/>
    <row r="58" spans="1:2" s="690" customFormat="1" ht="13.5" x14ac:dyDescent="0.15"/>
    <row r="59" spans="1:2" s="690" customFormat="1" ht="13.5" x14ac:dyDescent="0.15"/>
    <row r="60" spans="1:2" s="690" customFormat="1" ht="13.5" x14ac:dyDescent="0.15"/>
    <row r="61" spans="1:2" s="690" customFormat="1" ht="13.5" x14ac:dyDescent="0.15"/>
    <row r="62" spans="1:2" s="690" customFormat="1" ht="13.5" x14ac:dyDescent="0.15"/>
    <row r="63" spans="1:2" s="690" customFormat="1" ht="13.5" x14ac:dyDescent="0.15"/>
    <row r="64" spans="1:2" s="690" customFormat="1" ht="13.5" x14ac:dyDescent="0.15"/>
    <row r="65" s="690" customFormat="1" ht="13.5" x14ac:dyDescent="0.15"/>
    <row r="66" s="690" customFormat="1" ht="13.5" x14ac:dyDescent="0.15"/>
    <row r="67" s="690" customFormat="1" ht="13.5" x14ac:dyDescent="0.15"/>
    <row r="68" s="690" customFormat="1" ht="13.5" x14ac:dyDescent="0.15"/>
    <row r="69" s="690" customFormat="1" ht="13.5" x14ac:dyDescent="0.15"/>
    <row r="70" s="690" customFormat="1" ht="13.5" x14ac:dyDescent="0.15"/>
    <row r="71" s="690" customFormat="1" ht="13.5" x14ac:dyDescent="0.15"/>
    <row r="72" s="690" customFormat="1" ht="13.5" x14ac:dyDescent="0.15"/>
    <row r="73" s="690" customFormat="1" ht="13.5" x14ac:dyDescent="0.15"/>
    <row r="74" s="690" customFormat="1" ht="13.5" x14ac:dyDescent="0.15"/>
    <row r="75" s="690" customFormat="1" ht="13.5" x14ac:dyDescent="0.15"/>
    <row r="76" s="690" customFormat="1" ht="13.5" x14ac:dyDescent="0.15"/>
    <row r="77" s="690" customFormat="1" ht="13.5" x14ac:dyDescent="0.15"/>
    <row r="78" s="690" customFormat="1" ht="13.5" x14ac:dyDescent="0.15"/>
    <row r="79" s="690" customFormat="1" ht="13.5" x14ac:dyDescent="0.15"/>
    <row r="80" s="690" customFormat="1" ht="13.5" x14ac:dyDescent="0.15"/>
    <row r="81" s="690" customFormat="1" ht="13.5" x14ac:dyDescent="0.15"/>
    <row r="82" s="690" customFormat="1" ht="13.5" x14ac:dyDescent="0.15"/>
    <row r="83" s="690" customFormat="1" ht="13.5" x14ac:dyDescent="0.15"/>
    <row r="84" s="690" customFormat="1" ht="13.5" x14ac:dyDescent="0.15"/>
    <row r="85" s="690" customFormat="1" ht="13.5" x14ac:dyDescent="0.15"/>
    <row r="86" s="690" customFormat="1" ht="13.5" x14ac:dyDescent="0.15"/>
    <row r="87" s="690" customFormat="1" ht="13.5" x14ac:dyDescent="0.15"/>
    <row r="88" s="690" customFormat="1" ht="13.5" x14ac:dyDescent="0.15"/>
    <row r="89" s="690" customFormat="1" ht="13.5" x14ac:dyDescent="0.15"/>
    <row r="90" s="690" customFormat="1" ht="13.5" x14ac:dyDescent="0.15"/>
    <row r="91" s="690" customFormat="1" ht="13.5" x14ac:dyDescent="0.15"/>
    <row r="92" s="690" customFormat="1" ht="13.5" x14ac:dyDescent="0.15"/>
    <row r="93" s="690" customFormat="1" ht="13.5" x14ac:dyDescent="0.15"/>
    <row r="94" s="690" customFormat="1" ht="13.5" x14ac:dyDescent="0.15"/>
    <row r="95" s="690" customFormat="1" ht="13.5" x14ac:dyDescent="0.15"/>
    <row r="96" s="690" customFormat="1" ht="13.5" x14ac:dyDescent="0.15"/>
    <row r="97" s="690" customFormat="1" ht="13.5" x14ac:dyDescent="0.15"/>
    <row r="98" s="690" customFormat="1" ht="13.5" x14ac:dyDescent="0.15"/>
    <row r="99" s="690" customFormat="1" ht="13.5" x14ac:dyDescent="0.15"/>
    <row r="100" s="690" customFormat="1" ht="13.5" x14ac:dyDescent="0.15"/>
    <row r="101" s="690" customFormat="1" ht="13.5" x14ac:dyDescent="0.15"/>
    <row r="102" s="690" customFormat="1" ht="13.5" x14ac:dyDescent="0.15"/>
    <row r="103" s="690" customFormat="1" ht="13.5" x14ac:dyDescent="0.15"/>
    <row r="104" s="690" customFormat="1" ht="13.5" x14ac:dyDescent="0.15"/>
    <row r="105" s="690" customFormat="1" ht="13.5" x14ac:dyDescent="0.15"/>
    <row r="106" s="690" customFormat="1" ht="13.5" x14ac:dyDescent="0.15"/>
    <row r="107" s="690" customFormat="1" ht="13.5" x14ac:dyDescent="0.15"/>
    <row r="108" s="690" customFormat="1" ht="13.5" x14ac:dyDescent="0.15"/>
    <row r="109" s="690" customFormat="1" ht="13.5" x14ac:dyDescent="0.15"/>
    <row r="110" s="690" customFormat="1" ht="13.5" x14ac:dyDescent="0.15"/>
    <row r="111" s="690" customFormat="1" ht="13.5" x14ac:dyDescent="0.15"/>
    <row r="112" s="690" customFormat="1" ht="13.5" x14ac:dyDescent="0.15"/>
    <row r="113" s="690" customFormat="1" ht="13.5" x14ac:dyDescent="0.15"/>
    <row r="114" s="690" customFormat="1" ht="13.5" x14ac:dyDescent="0.15"/>
    <row r="115" s="690" customFormat="1" ht="13.5" x14ac:dyDescent="0.15"/>
    <row r="116" s="690" customFormat="1" ht="13.5" x14ac:dyDescent="0.15"/>
    <row r="117" s="690" customFormat="1" ht="13.5" x14ac:dyDescent="0.15"/>
    <row r="118" s="690" customFormat="1" ht="13.5" x14ac:dyDescent="0.15"/>
    <row r="119" s="690" customFormat="1" ht="13.5" x14ac:dyDescent="0.15"/>
    <row r="120" s="690" customFormat="1" ht="13.5" x14ac:dyDescent="0.15"/>
    <row r="121" s="690" customFormat="1" ht="13.5" x14ac:dyDescent="0.15"/>
    <row r="122" s="690" customFormat="1" ht="13.5" x14ac:dyDescent="0.15"/>
    <row r="123" s="690" customFormat="1" ht="13.5" x14ac:dyDescent="0.15"/>
    <row r="124" s="690" customFormat="1" ht="13.5" x14ac:dyDescent="0.15"/>
    <row r="125" s="690" customFormat="1" ht="13.5" x14ac:dyDescent="0.15"/>
    <row r="126" s="690" customFormat="1" ht="13.5" x14ac:dyDescent="0.15"/>
    <row r="127" s="690" customFormat="1" ht="13.5" x14ac:dyDescent="0.15"/>
    <row r="128" s="690" customFormat="1" ht="13.5" x14ac:dyDescent="0.15"/>
    <row r="129" s="690" customFormat="1" ht="13.5" x14ac:dyDescent="0.15"/>
    <row r="130" s="690" customFormat="1" ht="13.5" x14ac:dyDescent="0.15"/>
    <row r="131" s="690" customFormat="1" ht="13.5" x14ac:dyDescent="0.15"/>
    <row r="132" s="690" customFormat="1" ht="13.5" x14ac:dyDescent="0.15"/>
    <row r="133" s="690" customFormat="1" ht="13.5" x14ac:dyDescent="0.15"/>
    <row r="134" s="690" customFormat="1" ht="13.5" x14ac:dyDescent="0.15"/>
    <row r="135" s="690" customFormat="1" ht="13.5" x14ac:dyDescent="0.15"/>
    <row r="136" s="690" customFormat="1" ht="13.5" x14ac:dyDescent="0.15"/>
    <row r="137" s="690" customFormat="1" ht="13.5" x14ac:dyDescent="0.15"/>
    <row r="138" s="690" customFormat="1" ht="13.5" x14ac:dyDescent="0.15"/>
    <row r="139" s="690" customFormat="1" ht="13.5" x14ac:dyDescent="0.15"/>
    <row r="140" s="690" customFormat="1" ht="13.5" x14ac:dyDescent="0.15"/>
    <row r="141" s="690" customFormat="1" ht="13.5" x14ac:dyDescent="0.15"/>
    <row r="142" s="690" customFormat="1" ht="13.5" x14ac:dyDescent="0.15"/>
    <row r="143" s="690" customFormat="1" ht="13.5" x14ac:dyDescent="0.15"/>
    <row r="144" s="690" customFormat="1" ht="13.5" x14ac:dyDescent="0.15"/>
    <row r="145" s="690" customFormat="1" ht="13.5" x14ac:dyDescent="0.15"/>
    <row r="146" s="690" customFormat="1" ht="13.5" x14ac:dyDescent="0.15"/>
    <row r="147" s="690" customFormat="1" ht="13.5" x14ac:dyDescent="0.15"/>
    <row r="148" s="690" customFormat="1" ht="13.5" x14ac:dyDescent="0.15"/>
    <row r="149" s="690" customFormat="1" ht="13.5" x14ac:dyDescent="0.15"/>
    <row r="150" s="690" customFormat="1" ht="13.5" x14ac:dyDescent="0.15"/>
    <row r="151" s="690" customFormat="1" ht="13.5" x14ac:dyDescent="0.15"/>
  </sheetData>
  <mergeCells count="7">
    <mergeCell ref="D29:H29"/>
    <mergeCell ref="A2:J2"/>
    <mergeCell ref="D24:H24"/>
    <mergeCell ref="D25:H25"/>
    <mergeCell ref="D28:H28"/>
    <mergeCell ref="D26:H26"/>
    <mergeCell ref="D27:H27"/>
  </mergeCells>
  <phoneticPr fontId="5" type="noConversion"/>
  <pageMargins left="0.4" right="0.25" top="0.79" bottom="0.71" header="0.52" footer="0.5"/>
  <pageSetup paperSize="9" scale="94" orientation="portrait" horizontalDpi="4294967293" verticalDpi="4294967293" r:id="rId1"/>
  <headerFooter alignWithMargins="0"/>
  <colBreaks count="1" manualBreakCount="1">
    <brk id="10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opLeftCell="C7" zoomScaleNormal="100" zoomScaleSheetLayoutView="120" workbookViewId="0">
      <selection activeCell="E14" sqref="E14"/>
    </sheetView>
  </sheetViews>
  <sheetFormatPr defaultRowHeight="12.95" customHeight="1" x14ac:dyDescent="0.15"/>
  <cols>
    <col min="1" max="2" width="9" style="537"/>
    <col min="3" max="3" width="16.25" style="537" customWidth="1"/>
    <col min="4" max="4" width="13.75" style="102" customWidth="1"/>
    <col min="5" max="5" width="13.75" style="680" customWidth="1"/>
    <col min="6" max="6" width="11.625" style="102" customWidth="1"/>
    <col min="7" max="7" width="9.75" style="102" customWidth="1"/>
    <col min="8" max="8" width="9.375" style="537" customWidth="1"/>
    <col min="9" max="9" width="9.5" style="537" customWidth="1"/>
    <col min="10" max="10" width="16.25" style="538" customWidth="1"/>
    <col min="11" max="11" width="13.75" style="102" customWidth="1"/>
    <col min="12" max="12" width="13.75" style="680" customWidth="1"/>
    <col min="13" max="13" width="11.625" style="102" customWidth="1"/>
    <col min="14" max="14" width="9.875" style="102" customWidth="1"/>
    <col min="15" max="15" width="18" style="545" hidden="1" customWidth="1"/>
    <col min="16" max="16" width="4.875" style="619" customWidth="1"/>
    <col min="17" max="18" width="8.75" style="620" customWidth="1"/>
    <col min="19" max="19" width="6.75" style="619" customWidth="1"/>
    <col min="20" max="20" width="5" style="545" customWidth="1"/>
    <col min="21" max="22" width="5.5" style="545" customWidth="1"/>
    <col min="23" max="23" width="6.375" style="545" customWidth="1"/>
    <col min="24" max="16384" width="9" style="545"/>
  </cols>
  <sheetData>
    <row r="1" spans="1:17" ht="8.4499999999999993" customHeight="1" x14ac:dyDescent="0.15"/>
    <row r="2" spans="1:17" ht="23.25" customHeight="1" x14ac:dyDescent="0.15">
      <c r="A2" s="1261" t="s">
        <v>52</v>
      </c>
      <c r="B2" s="1261"/>
      <c r="C2" s="1261"/>
      <c r="D2" s="1261"/>
      <c r="E2" s="1261"/>
      <c r="F2" s="1261"/>
      <c r="G2" s="1261"/>
      <c r="H2" s="1261"/>
      <c r="I2" s="1261"/>
      <c r="J2" s="1261"/>
      <c r="K2" s="1261"/>
      <c r="L2" s="1261"/>
      <c r="M2" s="1261"/>
      <c r="N2" s="1261"/>
    </row>
    <row r="3" spans="1:17" ht="10.5" customHeight="1" x14ac:dyDescent="0.15">
      <c r="A3" s="621"/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1262" t="s">
        <v>10</v>
      </c>
      <c r="N3" s="1262"/>
    </row>
    <row r="4" spans="1:17" ht="21.2" customHeight="1" x14ac:dyDescent="0.15">
      <c r="A4" s="1263" t="s">
        <v>5</v>
      </c>
      <c r="B4" s="1264"/>
      <c r="C4" s="1264"/>
      <c r="D4" s="1264"/>
      <c r="E4" s="1264"/>
      <c r="F4" s="1264"/>
      <c r="G4" s="1265"/>
      <c r="H4" s="1268" t="s">
        <v>6</v>
      </c>
      <c r="I4" s="1264"/>
      <c r="J4" s="1264"/>
      <c r="K4" s="1264"/>
      <c r="L4" s="1264"/>
      <c r="M4" s="1269"/>
      <c r="N4" s="1270"/>
    </row>
    <row r="5" spans="1:17" ht="15" customHeight="1" x14ac:dyDescent="0.15">
      <c r="A5" s="1273" t="s">
        <v>0</v>
      </c>
      <c r="B5" s="1267"/>
      <c r="C5" s="1267"/>
      <c r="D5" s="1257" t="s">
        <v>1152</v>
      </c>
      <c r="E5" s="1257" t="s">
        <v>1153</v>
      </c>
      <c r="F5" s="1257" t="s">
        <v>58</v>
      </c>
      <c r="G5" s="1259" t="s">
        <v>59</v>
      </c>
      <c r="H5" s="1266" t="s">
        <v>0</v>
      </c>
      <c r="I5" s="1267"/>
      <c r="J5" s="1267"/>
      <c r="K5" s="1257" t="str">
        <f>D5</f>
        <v>전년도예산
(A)</v>
      </c>
      <c r="L5" s="1257" t="str">
        <f>E5</f>
        <v>2023년예산
 (B)</v>
      </c>
      <c r="M5" s="1257" t="s">
        <v>57</v>
      </c>
      <c r="N5" s="1271" t="s">
        <v>56</v>
      </c>
    </row>
    <row r="6" spans="1:17" ht="16.5" customHeight="1" thickBot="1" x14ac:dyDescent="0.2">
      <c r="A6" s="622" t="s">
        <v>1</v>
      </c>
      <c r="B6" s="623" t="s">
        <v>2</v>
      </c>
      <c r="C6" s="623" t="s">
        <v>3</v>
      </c>
      <c r="D6" s="1258"/>
      <c r="E6" s="1258"/>
      <c r="F6" s="1258"/>
      <c r="G6" s="1260"/>
      <c r="H6" s="624" t="s">
        <v>1</v>
      </c>
      <c r="I6" s="623" t="s">
        <v>2</v>
      </c>
      <c r="J6" s="625" t="s">
        <v>3</v>
      </c>
      <c r="K6" s="1258"/>
      <c r="L6" s="1258"/>
      <c r="M6" s="1258"/>
      <c r="N6" s="1272"/>
    </row>
    <row r="7" spans="1:17" ht="24" customHeight="1" thickTop="1" thickBot="1" x14ac:dyDescent="0.2">
      <c r="A7" s="1253" t="s">
        <v>4</v>
      </c>
      <c r="B7" s="1254"/>
      <c r="C7" s="1254"/>
      <c r="D7" s="626">
        <v>4484599000</v>
      </c>
      <c r="E7" s="626">
        <f>E8+E14+E17+E25+E35+E46+E11+E31</f>
        <v>4265740000</v>
      </c>
      <c r="F7" s="626">
        <f>F8+F14+F17+F25+F35+F46+F11+F31</f>
        <v>-218859000</v>
      </c>
      <c r="G7" s="809">
        <f>F7/D7*100</f>
        <v>-4.8802356687855477</v>
      </c>
      <c r="H7" s="1255" t="s">
        <v>4</v>
      </c>
      <c r="I7" s="1256"/>
      <c r="J7" s="1256"/>
      <c r="K7" s="630">
        <v>4484599000</v>
      </c>
      <c r="L7" s="630">
        <f>SUM(L8,L25,L30,L48,L51,L54)</f>
        <v>4265740000</v>
      </c>
      <c r="M7" s="630">
        <f>L7-K7</f>
        <v>-218859000</v>
      </c>
      <c r="N7" s="821">
        <f>M7/K7*100</f>
        <v>-4.8802356687855477</v>
      </c>
      <c r="O7" s="1214">
        <f>E7-L7</f>
        <v>0</v>
      </c>
      <c r="P7" s="632"/>
      <c r="Q7" s="633"/>
    </row>
    <row r="8" spans="1:17" ht="17.25" customHeight="1" thickTop="1" x14ac:dyDescent="0.15">
      <c r="A8" s="634" t="s">
        <v>254</v>
      </c>
      <c r="B8" s="1251" t="s">
        <v>255</v>
      </c>
      <c r="C8" s="1251"/>
      <c r="D8" s="635">
        <v>79800000</v>
      </c>
      <c r="E8" s="635">
        <f>E9</f>
        <v>84000000</v>
      </c>
      <c r="F8" s="635">
        <f>F9</f>
        <v>4200000</v>
      </c>
      <c r="G8" s="1124">
        <f>F8/D8*100</f>
        <v>5.2631578947368416</v>
      </c>
      <c r="H8" s="822" t="s">
        <v>107</v>
      </c>
      <c r="I8" s="814" t="s">
        <v>91</v>
      </c>
      <c r="J8" s="814"/>
      <c r="K8" s="823">
        <v>3562580358</v>
      </c>
      <c r="L8" s="824">
        <f>SUM(L9,L16,L18)</f>
        <v>3650290750</v>
      </c>
      <c r="M8" s="640">
        <f>L8-K8</f>
        <v>87710392</v>
      </c>
      <c r="N8" s="825">
        <f>M8/K8*100</f>
        <v>2.4619905570141247</v>
      </c>
      <c r="O8" s="1214"/>
      <c r="Q8" s="641"/>
    </row>
    <row r="9" spans="1:17" ht="17.25" customHeight="1" x14ac:dyDescent="0.15">
      <c r="A9" s="642"/>
      <c r="B9" s="643" t="s">
        <v>257</v>
      </c>
      <c r="C9" s="643" t="s">
        <v>258</v>
      </c>
      <c r="D9" s="644">
        <v>79800000</v>
      </c>
      <c r="E9" s="644">
        <f>E10</f>
        <v>84000000</v>
      </c>
      <c r="F9" s="644">
        <f>F10</f>
        <v>4200000</v>
      </c>
      <c r="G9" s="1121">
        <f>F9/D9*100</f>
        <v>5.2631578947368416</v>
      </c>
      <c r="H9" s="646"/>
      <c r="I9" s="647" t="s">
        <v>108</v>
      </c>
      <c r="J9" s="647" t="s">
        <v>93</v>
      </c>
      <c r="K9" s="648">
        <v>3312868198</v>
      </c>
      <c r="L9" s="648">
        <f>SUM(L10:L15)</f>
        <v>3383850590</v>
      </c>
      <c r="M9" s="649">
        <f>L9-K9</f>
        <v>70982392</v>
      </c>
      <c r="N9" s="805">
        <f>M9/K9*100</f>
        <v>2.142626502402134</v>
      </c>
      <c r="O9" s="1214">
        <f>L9-'라. 세출내역서'!E9</f>
        <v>0</v>
      </c>
      <c r="P9" s="650"/>
      <c r="Q9" s="641"/>
    </row>
    <row r="10" spans="1:17" ht="17.25" customHeight="1" x14ac:dyDescent="0.15">
      <c r="A10" s="642"/>
      <c r="B10" s="651"/>
      <c r="C10" s="651" t="s">
        <v>257</v>
      </c>
      <c r="D10" s="652">
        <v>79800000</v>
      </c>
      <c r="E10" s="652">
        <f>'다. 세입내역서'!E9</f>
        <v>84000000</v>
      </c>
      <c r="F10" s="652">
        <f>E10-D10</f>
        <v>4200000</v>
      </c>
      <c r="G10" s="1125">
        <f>F10/D10*100</f>
        <v>5.2631578947368416</v>
      </c>
      <c r="H10" s="646"/>
      <c r="I10" s="570"/>
      <c r="J10" s="570" t="s">
        <v>109</v>
      </c>
      <c r="K10" s="571">
        <v>1987419000</v>
      </c>
      <c r="L10" s="571">
        <f>'라. 세출내역서'!E10</f>
        <v>2033209000</v>
      </c>
      <c r="M10" s="573">
        <f>L10-K10</f>
        <v>45790000</v>
      </c>
      <c r="N10" s="806">
        <f t="shared" ref="N10:N17" si="0">M10/K10*100</f>
        <v>2.303993269662814</v>
      </c>
    </row>
    <row r="11" spans="1:17" ht="17.25" customHeight="1" x14ac:dyDescent="0.15">
      <c r="A11" s="654" t="s">
        <v>260</v>
      </c>
      <c r="B11" s="1252" t="s">
        <v>255</v>
      </c>
      <c r="C11" s="1252"/>
      <c r="D11" s="655">
        <v>0</v>
      </c>
      <c r="E11" s="655">
        <f>E12</f>
        <v>0</v>
      </c>
      <c r="F11" s="655">
        <f>F12</f>
        <v>0</v>
      </c>
      <c r="G11" s="1126">
        <v>0</v>
      </c>
      <c r="H11" s="646"/>
      <c r="I11" s="570"/>
      <c r="J11" s="570" t="s">
        <v>956</v>
      </c>
      <c r="K11" s="571">
        <v>12000000</v>
      </c>
      <c r="L11" s="571">
        <f>'라. 세출내역서'!E145</f>
        <v>12000000</v>
      </c>
      <c r="M11" s="573">
        <f t="shared" ref="M11:M24" si="1">L11-K11</f>
        <v>0</v>
      </c>
      <c r="N11" s="806">
        <f t="shared" si="0"/>
        <v>0</v>
      </c>
    </row>
    <row r="12" spans="1:17" ht="17.25" customHeight="1" x14ac:dyDescent="0.15">
      <c r="A12" s="642"/>
      <c r="B12" s="643" t="s">
        <v>260</v>
      </c>
      <c r="C12" s="643" t="s">
        <v>258</v>
      </c>
      <c r="D12" s="644">
        <v>0</v>
      </c>
      <c r="E12" s="644">
        <f>E13</f>
        <v>0</v>
      </c>
      <c r="F12" s="644">
        <f>F13</f>
        <v>0</v>
      </c>
      <c r="G12" s="1127">
        <v>0</v>
      </c>
      <c r="H12" s="646"/>
      <c r="I12" s="570"/>
      <c r="J12" s="570" t="s">
        <v>110</v>
      </c>
      <c r="K12" s="571">
        <v>783337200</v>
      </c>
      <c r="L12" s="571">
        <f>'라. 세출내역서'!E147</f>
        <v>795425660</v>
      </c>
      <c r="M12" s="573">
        <f t="shared" si="1"/>
        <v>12088460</v>
      </c>
      <c r="N12" s="806">
        <f t="shared" si="0"/>
        <v>1.5432000420763881</v>
      </c>
      <c r="O12" s="597"/>
    </row>
    <row r="13" spans="1:17" ht="17.25" customHeight="1" x14ac:dyDescent="0.15">
      <c r="A13" s="642"/>
      <c r="B13" s="651"/>
      <c r="C13" s="651" t="s">
        <v>262</v>
      </c>
      <c r="D13" s="652">
        <v>0</v>
      </c>
      <c r="E13" s="652">
        <f>'[1]다-2.자부담세입'!E13</f>
        <v>0</v>
      </c>
      <c r="F13" s="652">
        <f>E13-D13</f>
        <v>0</v>
      </c>
      <c r="G13" s="1128">
        <v>0</v>
      </c>
      <c r="H13" s="646"/>
      <c r="I13" s="570"/>
      <c r="J13" s="570" t="s">
        <v>111</v>
      </c>
      <c r="K13" s="571">
        <v>228301750</v>
      </c>
      <c r="L13" s="571">
        <f>'라. 세출내역서'!E645</f>
        <v>233124920</v>
      </c>
      <c r="M13" s="573">
        <f t="shared" si="1"/>
        <v>4823170</v>
      </c>
      <c r="N13" s="806">
        <f t="shared" si="0"/>
        <v>2.1126294476498759</v>
      </c>
      <c r="O13" s="597"/>
    </row>
    <row r="14" spans="1:17" ht="17.25" customHeight="1" x14ac:dyDescent="0.15">
      <c r="A14" s="654" t="s">
        <v>264</v>
      </c>
      <c r="B14" s="1252" t="s">
        <v>255</v>
      </c>
      <c r="C14" s="1252"/>
      <c r="D14" s="655">
        <v>0</v>
      </c>
      <c r="E14" s="655">
        <f>E15</f>
        <v>0</v>
      </c>
      <c r="F14" s="655">
        <f>F15</f>
        <v>0</v>
      </c>
      <c r="G14" s="1126">
        <v>0</v>
      </c>
      <c r="H14" s="646"/>
      <c r="I14" s="570"/>
      <c r="J14" s="570" t="s">
        <v>112</v>
      </c>
      <c r="K14" s="571">
        <v>276089990</v>
      </c>
      <c r="L14" s="571">
        <f>'라. 세출내역서'!E649</f>
        <v>284041010</v>
      </c>
      <c r="M14" s="573">
        <f t="shared" si="1"/>
        <v>7951020</v>
      </c>
      <c r="N14" s="806">
        <f t="shared" si="0"/>
        <v>2.8798653656367619</v>
      </c>
      <c r="O14" s="597"/>
      <c r="P14" s="633"/>
    </row>
    <row r="15" spans="1:17" ht="17.25" customHeight="1" x14ac:dyDescent="0.15">
      <c r="A15" s="642"/>
      <c r="B15" s="643" t="s">
        <v>264</v>
      </c>
      <c r="C15" s="643" t="s">
        <v>258</v>
      </c>
      <c r="D15" s="644">
        <v>0</v>
      </c>
      <c r="E15" s="644">
        <f>E16</f>
        <v>0</v>
      </c>
      <c r="F15" s="644">
        <f>F16</f>
        <v>0</v>
      </c>
      <c r="G15" s="1127">
        <v>0</v>
      </c>
      <c r="H15" s="646"/>
      <c r="I15" s="570"/>
      <c r="J15" s="570" t="s">
        <v>113</v>
      </c>
      <c r="K15" s="571">
        <v>25720258</v>
      </c>
      <c r="L15" s="571">
        <f>'라. 세출내역서'!E665</f>
        <v>26050000</v>
      </c>
      <c r="M15" s="573">
        <f>L15-K15</f>
        <v>329742</v>
      </c>
      <c r="N15" s="806">
        <f>M15/K15*100</f>
        <v>1.2820322408896521</v>
      </c>
      <c r="O15" s="597"/>
    </row>
    <row r="16" spans="1:17" ht="17.25" customHeight="1" x14ac:dyDescent="0.15">
      <c r="A16" s="642"/>
      <c r="B16" s="651"/>
      <c r="C16" s="651" t="s">
        <v>264</v>
      </c>
      <c r="D16" s="652">
        <v>0</v>
      </c>
      <c r="E16" s="652">
        <v>0</v>
      </c>
      <c r="F16" s="652">
        <f>E16-D16</f>
        <v>0</v>
      </c>
      <c r="G16" s="1128">
        <v>0</v>
      </c>
      <c r="H16" s="646"/>
      <c r="I16" s="647" t="s">
        <v>114</v>
      </c>
      <c r="J16" s="647" t="s">
        <v>93</v>
      </c>
      <c r="K16" s="649">
        <v>1000000</v>
      </c>
      <c r="L16" s="649">
        <f>L17</f>
        <v>1000000</v>
      </c>
      <c r="M16" s="649">
        <f>L16-K16</f>
        <v>0</v>
      </c>
      <c r="N16" s="805">
        <f>M16/K16*100</f>
        <v>0</v>
      </c>
      <c r="O16" s="597"/>
    </row>
    <row r="17" spans="1:18" ht="17.25" customHeight="1" x14ac:dyDescent="0.15">
      <c r="A17" s="654" t="s">
        <v>268</v>
      </c>
      <c r="B17" s="657" t="s">
        <v>255</v>
      </c>
      <c r="C17" s="657"/>
      <c r="D17" s="100">
        <v>3608312530</v>
      </c>
      <c r="E17" s="100">
        <f>E18+E24+E29</f>
        <v>3635150270</v>
      </c>
      <c r="F17" s="100">
        <f>F18+F24+F29</f>
        <v>26837740</v>
      </c>
      <c r="G17" s="1126">
        <f t="shared" ref="G17:G22" si="2">F17/D17*100</f>
        <v>0.74377537358162271</v>
      </c>
      <c r="H17" s="646"/>
      <c r="I17" s="582"/>
      <c r="J17" s="570" t="s">
        <v>115</v>
      </c>
      <c r="K17" s="573">
        <v>1000000</v>
      </c>
      <c r="L17" s="573">
        <f>'라. 세출내역서'!E678</f>
        <v>1000000</v>
      </c>
      <c r="M17" s="573">
        <f t="shared" si="1"/>
        <v>0</v>
      </c>
      <c r="N17" s="806">
        <f t="shared" si="0"/>
        <v>0</v>
      </c>
      <c r="O17" s="597"/>
    </row>
    <row r="18" spans="1:18" ht="17.25" customHeight="1" x14ac:dyDescent="0.15">
      <c r="A18" s="642"/>
      <c r="B18" s="643" t="s">
        <v>324</v>
      </c>
      <c r="C18" s="643" t="s">
        <v>258</v>
      </c>
      <c r="D18" s="658">
        <v>3608312530</v>
      </c>
      <c r="E18" s="658">
        <f>SUM(E19:E22)</f>
        <v>3635150270</v>
      </c>
      <c r="F18" s="658">
        <f>SUM(F19:F22)</f>
        <v>26837740</v>
      </c>
      <c r="G18" s="1127">
        <f t="shared" si="2"/>
        <v>0.74377537358162271</v>
      </c>
      <c r="H18" s="646"/>
      <c r="I18" s="659" t="s">
        <v>116</v>
      </c>
      <c r="J18" s="659" t="s">
        <v>93</v>
      </c>
      <c r="K18" s="649">
        <v>248712160</v>
      </c>
      <c r="L18" s="649">
        <f>SUM(L19:L24)</f>
        <v>265440160</v>
      </c>
      <c r="M18" s="649">
        <f>L18-K18</f>
        <v>16728000</v>
      </c>
      <c r="N18" s="815">
        <f>M18/K18*100</f>
        <v>6.7258472605440769</v>
      </c>
      <c r="O18" s="1225">
        <f>L18-'라. 세출내역서'!E682</f>
        <v>0</v>
      </c>
      <c r="Q18" s="641"/>
    </row>
    <row r="19" spans="1:18" ht="17.25" customHeight="1" x14ac:dyDescent="0.15">
      <c r="A19" s="642"/>
      <c r="B19" s="651"/>
      <c r="C19" s="1162" t="s">
        <v>960</v>
      </c>
      <c r="D19" s="661">
        <v>3302048430</v>
      </c>
      <c r="E19" s="661">
        <f>'다. 세입내역서'!E18</f>
        <v>3342904930</v>
      </c>
      <c r="F19" s="652">
        <f>E19-D19</f>
        <v>40856500</v>
      </c>
      <c r="G19" s="1128">
        <f t="shared" si="2"/>
        <v>1.2373077156836247</v>
      </c>
      <c r="H19" s="646"/>
      <c r="I19" s="585"/>
      <c r="J19" s="585" t="s">
        <v>117</v>
      </c>
      <c r="K19" s="573">
        <v>1500000</v>
      </c>
      <c r="L19" s="573">
        <f>'라. 세출내역서'!E683</f>
        <v>1500000</v>
      </c>
      <c r="M19" s="573">
        <f t="shared" si="1"/>
        <v>0</v>
      </c>
      <c r="N19" s="806">
        <f t="shared" ref="N19:N24" si="3">M19/K19*100</f>
        <v>0</v>
      </c>
      <c r="O19" s="597"/>
    </row>
    <row r="20" spans="1:18" ht="17.25" customHeight="1" x14ac:dyDescent="0.15">
      <c r="A20" s="664"/>
      <c r="B20" s="651"/>
      <c r="C20" s="1162" t="s">
        <v>429</v>
      </c>
      <c r="D20" s="661">
        <v>222017050</v>
      </c>
      <c r="E20" s="661">
        <f>'다. 세입내역서'!E23</f>
        <v>202696110</v>
      </c>
      <c r="F20" s="652">
        <f>E20-D20</f>
        <v>-19320940</v>
      </c>
      <c r="G20" s="1128">
        <f t="shared" si="2"/>
        <v>-8.7024577616899244</v>
      </c>
      <c r="H20" s="646"/>
      <c r="I20" s="585"/>
      <c r="J20" s="585" t="s">
        <v>118</v>
      </c>
      <c r="K20" s="571">
        <v>60443323</v>
      </c>
      <c r="L20" s="571">
        <f>'라. 세출내역서'!E685</f>
        <v>62970160</v>
      </c>
      <c r="M20" s="573">
        <f t="shared" si="1"/>
        <v>2526837</v>
      </c>
      <c r="N20" s="816">
        <f t="shared" si="3"/>
        <v>4.1805064225208133</v>
      </c>
      <c r="O20" s="597"/>
    </row>
    <row r="21" spans="1:18" ht="17.25" customHeight="1" x14ac:dyDescent="0.15">
      <c r="A21" s="642"/>
      <c r="B21" s="651"/>
      <c r="C21" s="1162" t="s">
        <v>961</v>
      </c>
      <c r="D21" s="661">
        <v>80247050</v>
      </c>
      <c r="E21" s="661">
        <f>'다. 세입내역서'!E30</f>
        <v>89549230</v>
      </c>
      <c r="F21" s="652">
        <f>E21-D21</f>
        <v>9302180</v>
      </c>
      <c r="G21" s="1128">
        <f t="shared" si="2"/>
        <v>11.591927678338331</v>
      </c>
      <c r="H21" s="646"/>
      <c r="I21" s="585"/>
      <c r="J21" s="585" t="s">
        <v>119</v>
      </c>
      <c r="K21" s="571">
        <v>127161967</v>
      </c>
      <c r="L21" s="571">
        <f>'라. 세출내역서'!E702</f>
        <v>129000000</v>
      </c>
      <c r="M21" s="573">
        <f t="shared" si="1"/>
        <v>1838033</v>
      </c>
      <c r="N21" s="816">
        <f t="shared" si="3"/>
        <v>1.4454266817058594</v>
      </c>
      <c r="O21" s="597"/>
    </row>
    <row r="22" spans="1:18" ht="17.25" customHeight="1" x14ac:dyDescent="0.15">
      <c r="A22" s="642"/>
      <c r="B22" s="651"/>
      <c r="C22" s="1162" t="s">
        <v>627</v>
      </c>
      <c r="D22" s="661">
        <v>4000000</v>
      </c>
      <c r="E22" s="661">
        <f>'다. 세입내역서'!E32</f>
        <v>0</v>
      </c>
      <c r="F22" s="652">
        <f>E22-D22</f>
        <v>-4000000</v>
      </c>
      <c r="G22" s="1125">
        <f t="shared" si="2"/>
        <v>-100</v>
      </c>
      <c r="H22" s="646"/>
      <c r="I22" s="585"/>
      <c r="J22" s="585" t="s">
        <v>120</v>
      </c>
      <c r="K22" s="571">
        <v>14006870</v>
      </c>
      <c r="L22" s="571">
        <f>'라. 세출내역서'!E709</f>
        <v>14170000</v>
      </c>
      <c r="M22" s="573">
        <f t="shared" si="1"/>
        <v>163130</v>
      </c>
      <c r="N22" s="816">
        <f t="shared" si="3"/>
        <v>1.1646427788649427</v>
      </c>
      <c r="O22" s="597"/>
      <c r="P22" s="650"/>
      <c r="Q22" s="641"/>
      <c r="R22" s="641"/>
    </row>
    <row r="23" spans="1:18" ht="17.25" customHeight="1" x14ac:dyDescent="0.15">
      <c r="A23" s="666"/>
      <c r="B23" s="651"/>
      <c r="C23" s="651"/>
      <c r="D23" s="661"/>
      <c r="E23" s="661"/>
      <c r="F23" s="661"/>
      <c r="G23" s="1128"/>
      <c r="H23" s="646"/>
      <c r="I23" s="585"/>
      <c r="J23" s="585" t="s">
        <v>121</v>
      </c>
      <c r="K23" s="571">
        <v>39000000</v>
      </c>
      <c r="L23" s="571">
        <f>'라. 세출내역서'!E717</f>
        <v>50000000</v>
      </c>
      <c r="M23" s="573">
        <f t="shared" si="1"/>
        <v>11000000</v>
      </c>
      <c r="N23" s="806">
        <f t="shared" si="3"/>
        <v>28.205128205128204</v>
      </c>
      <c r="O23" s="597"/>
      <c r="P23" s="650"/>
      <c r="Q23" s="641"/>
      <c r="R23" s="641"/>
    </row>
    <row r="24" spans="1:18" ht="17.25" customHeight="1" x14ac:dyDescent="0.15">
      <c r="A24" s="642"/>
      <c r="B24" s="651"/>
      <c r="C24" s="651"/>
      <c r="D24" s="661"/>
      <c r="E24" s="661"/>
      <c r="F24" s="661"/>
      <c r="G24" s="1128"/>
      <c r="H24" s="646"/>
      <c r="I24" s="585"/>
      <c r="J24" s="585" t="s">
        <v>122</v>
      </c>
      <c r="K24" s="571">
        <v>6600000</v>
      </c>
      <c r="L24" s="571">
        <f>'라. 세출내역서'!E720</f>
        <v>7800000</v>
      </c>
      <c r="M24" s="573">
        <f t="shared" si="1"/>
        <v>1200000</v>
      </c>
      <c r="N24" s="806">
        <f t="shared" si="3"/>
        <v>18.181818181818183</v>
      </c>
      <c r="O24" s="597"/>
      <c r="P24" s="650"/>
      <c r="Q24" s="641"/>
      <c r="R24" s="641"/>
    </row>
    <row r="25" spans="1:18" ht="17.25" customHeight="1" x14ac:dyDescent="0.15">
      <c r="A25" s="654" t="s">
        <v>284</v>
      </c>
      <c r="B25" s="1056" t="s">
        <v>255</v>
      </c>
      <c r="C25" s="1056"/>
      <c r="D25" s="100">
        <v>395740000</v>
      </c>
      <c r="E25" s="100">
        <f>E26+E29</f>
        <v>353400000</v>
      </c>
      <c r="F25" s="100">
        <f>F26</f>
        <v>-42340000</v>
      </c>
      <c r="G25" s="1120">
        <f>F25/D25*100</f>
        <v>-10.698943750947592</v>
      </c>
      <c r="H25" s="667" t="s">
        <v>123</v>
      </c>
      <c r="I25" s="587" t="s">
        <v>91</v>
      </c>
      <c r="J25" s="587"/>
      <c r="K25" s="588">
        <v>201575500</v>
      </c>
      <c r="L25" s="588">
        <f>L26</f>
        <v>146933378</v>
      </c>
      <c r="M25" s="588">
        <f t="shared" ref="M25:M36" si="4">L25-K25</f>
        <v>-54642122</v>
      </c>
      <c r="N25" s="817">
        <f>M25/K25*100</f>
        <v>-27.107521499388564</v>
      </c>
      <c r="O25" s="1225">
        <f>L25-'라. 세출내역서'!E725</f>
        <v>0</v>
      </c>
      <c r="P25" s="650"/>
      <c r="Q25" s="641"/>
      <c r="R25" s="641"/>
    </row>
    <row r="26" spans="1:18" ht="17.25" customHeight="1" x14ac:dyDescent="0.15">
      <c r="A26" s="642"/>
      <c r="B26" s="643" t="s">
        <v>285</v>
      </c>
      <c r="C26" s="643" t="s">
        <v>258</v>
      </c>
      <c r="D26" s="658">
        <v>395740000</v>
      </c>
      <c r="E26" s="658">
        <f>SUM(E27:E28)</f>
        <v>353400000</v>
      </c>
      <c r="F26" s="658">
        <f>SUM(F27:F28)</f>
        <v>-42340000</v>
      </c>
      <c r="G26" s="1121">
        <f>F26/D26*100</f>
        <v>-10.698943750947592</v>
      </c>
      <c r="H26" s="646"/>
      <c r="I26" s="659" t="s">
        <v>124</v>
      </c>
      <c r="J26" s="659" t="s">
        <v>93</v>
      </c>
      <c r="K26" s="648">
        <v>201575500</v>
      </c>
      <c r="L26" s="648">
        <f>SUM(L27:L29)</f>
        <v>146933378</v>
      </c>
      <c r="M26" s="649">
        <f t="shared" si="4"/>
        <v>-54642122</v>
      </c>
      <c r="N26" s="815">
        <f>M26/K26*100</f>
        <v>-27.107521499388564</v>
      </c>
      <c r="O26" s="597"/>
      <c r="P26" s="650"/>
      <c r="Q26" s="641"/>
      <c r="R26" s="641"/>
    </row>
    <row r="27" spans="1:18" ht="17.25" customHeight="1" x14ac:dyDescent="0.15">
      <c r="A27" s="642"/>
      <c r="B27" s="651"/>
      <c r="C27" s="651" t="s">
        <v>287</v>
      </c>
      <c r="D27" s="661">
        <v>71740000</v>
      </c>
      <c r="E27" s="661">
        <f>'다. 세입내역서'!E35</f>
        <v>29400000</v>
      </c>
      <c r="F27" s="652">
        <f>E27-D27</f>
        <v>-42340000</v>
      </c>
      <c r="G27" s="1119">
        <f>F27/D27*100</f>
        <v>-59.01867856147198</v>
      </c>
      <c r="H27" s="646"/>
      <c r="I27" s="585"/>
      <c r="J27" s="585" t="s">
        <v>124</v>
      </c>
      <c r="K27" s="571">
        <v>70000000</v>
      </c>
      <c r="L27" s="571">
        <f>'라. 세출내역서'!E727</f>
        <v>86000000</v>
      </c>
      <c r="M27" s="800">
        <f t="shared" si="4"/>
        <v>16000000</v>
      </c>
      <c r="N27" s="806">
        <v>0</v>
      </c>
      <c r="O27" s="597"/>
      <c r="P27" s="650"/>
      <c r="Q27" s="641"/>
      <c r="R27" s="641"/>
    </row>
    <row r="28" spans="1:18" ht="17.25" customHeight="1" x14ac:dyDescent="0.15">
      <c r="A28" s="642"/>
      <c r="B28" s="651"/>
      <c r="C28" s="651" t="s">
        <v>289</v>
      </c>
      <c r="D28" s="661">
        <v>324000000</v>
      </c>
      <c r="E28" s="661">
        <f>'다. 세입내역서'!E36</f>
        <v>324000000</v>
      </c>
      <c r="F28" s="652">
        <f>E28-D28</f>
        <v>0</v>
      </c>
      <c r="G28" s="1122">
        <f>F28/D28*100</f>
        <v>0</v>
      </c>
      <c r="H28" s="646"/>
      <c r="I28" s="570"/>
      <c r="J28" s="570" t="s">
        <v>125</v>
      </c>
      <c r="K28" s="571">
        <v>70000000</v>
      </c>
      <c r="L28" s="571">
        <f>'라. 세출내역서'!E734</f>
        <v>19156157</v>
      </c>
      <c r="M28" s="800">
        <f t="shared" si="4"/>
        <v>-50843843</v>
      </c>
      <c r="N28" s="816">
        <f t="shared" ref="N28:N35" si="5">M28/K28*100</f>
        <v>-72.634061428571428</v>
      </c>
      <c r="O28" s="597"/>
      <c r="P28" s="650"/>
      <c r="Q28" s="641"/>
    </row>
    <row r="29" spans="1:18" ht="17.25" customHeight="1" x14ac:dyDescent="0.15">
      <c r="A29" s="642"/>
      <c r="B29" s="651"/>
      <c r="C29" s="651"/>
      <c r="D29" s="661"/>
      <c r="E29" s="661"/>
      <c r="F29" s="661"/>
      <c r="G29" s="1128"/>
      <c r="H29" s="646"/>
      <c r="I29" s="570"/>
      <c r="J29" s="570" t="s">
        <v>126</v>
      </c>
      <c r="K29" s="571">
        <v>61575500</v>
      </c>
      <c r="L29" s="571">
        <f>'라. 세출내역서'!E741</f>
        <v>41777221</v>
      </c>
      <c r="M29" s="573">
        <f t="shared" si="4"/>
        <v>-19798279</v>
      </c>
      <c r="N29" s="806">
        <f t="shared" si="5"/>
        <v>-32.152851377577122</v>
      </c>
      <c r="O29" s="597"/>
      <c r="P29" s="650"/>
      <c r="Q29" s="641"/>
    </row>
    <row r="30" spans="1:18" ht="17.25" customHeight="1" x14ac:dyDescent="0.15">
      <c r="A30" s="642"/>
      <c r="B30" s="651"/>
      <c r="C30" s="651"/>
      <c r="D30" s="661"/>
      <c r="E30" s="661"/>
      <c r="F30" s="652"/>
      <c r="G30" s="1128"/>
      <c r="H30" s="667" t="s">
        <v>127</v>
      </c>
      <c r="I30" s="593" t="s">
        <v>91</v>
      </c>
      <c r="J30" s="593"/>
      <c r="K30" s="588">
        <v>467265202</v>
      </c>
      <c r="L30" s="588">
        <f>SUM(L31,L37,L46)</f>
        <v>416354042</v>
      </c>
      <c r="M30" s="588">
        <f t="shared" si="4"/>
        <v>-50911160</v>
      </c>
      <c r="N30" s="807">
        <f t="shared" si="5"/>
        <v>-10.895559905186349</v>
      </c>
      <c r="O30" s="1225">
        <f>L30-'라. 세출내역서'!E757</f>
        <v>0</v>
      </c>
      <c r="P30" s="650"/>
      <c r="Q30" s="641"/>
    </row>
    <row r="31" spans="1:18" ht="17.25" customHeight="1" x14ac:dyDescent="0.15">
      <c r="A31" s="803" t="s">
        <v>292</v>
      </c>
      <c r="B31" s="638" t="s">
        <v>255</v>
      </c>
      <c r="C31" s="638"/>
      <c r="D31" s="804">
        <v>40000000</v>
      </c>
      <c r="E31" s="804">
        <f>E32</f>
        <v>40000000</v>
      </c>
      <c r="F31" s="804">
        <f>F32</f>
        <v>0</v>
      </c>
      <c r="G31" s="1120">
        <f>F31/D31*100</f>
        <v>0</v>
      </c>
      <c r="H31" s="646"/>
      <c r="I31" s="647" t="s">
        <v>116</v>
      </c>
      <c r="J31" s="647" t="s">
        <v>93</v>
      </c>
      <c r="K31" s="648">
        <v>300865740</v>
      </c>
      <c r="L31" s="648">
        <f>SUM(L32:L36)</f>
        <v>295141680</v>
      </c>
      <c r="M31" s="649">
        <f t="shared" si="4"/>
        <v>-5724060</v>
      </c>
      <c r="N31" s="805">
        <f t="shared" si="5"/>
        <v>-1.9025296798498892</v>
      </c>
      <c r="O31" s="597"/>
      <c r="P31" s="650"/>
      <c r="Q31" s="641"/>
    </row>
    <row r="32" spans="1:18" ht="17.25" customHeight="1" x14ac:dyDescent="0.15">
      <c r="A32" s="642"/>
      <c r="B32" s="643" t="s">
        <v>292</v>
      </c>
      <c r="C32" s="643" t="s">
        <v>258</v>
      </c>
      <c r="D32" s="658">
        <v>40000000</v>
      </c>
      <c r="E32" s="658">
        <f>E33</f>
        <v>40000000</v>
      </c>
      <c r="F32" s="658">
        <f>F33</f>
        <v>0</v>
      </c>
      <c r="G32" s="1121">
        <f>F32/D32*100</f>
        <v>0</v>
      </c>
      <c r="H32" s="646"/>
      <c r="I32" s="570"/>
      <c r="J32" s="570" t="s">
        <v>128</v>
      </c>
      <c r="K32" s="571">
        <v>255915740</v>
      </c>
      <c r="L32" s="571">
        <f>'라. 세출내역서'!E759</f>
        <v>249641680</v>
      </c>
      <c r="M32" s="573">
        <f t="shared" si="4"/>
        <v>-6274060</v>
      </c>
      <c r="N32" s="806">
        <f t="shared" si="5"/>
        <v>-2.4516116124783887</v>
      </c>
      <c r="O32" s="597"/>
      <c r="P32" s="650"/>
      <c r="Q32" s="641"/>
    </row>
    <row r="33" spans="1:17" ht="17.25" customHeight="1" x14ac:dyDescent="0.15">
      <c r="A33" s="642"/>
      <c r="B33" s="651"/>
      <c r="C33" s="651" t="s">
        <v>294</v>
      </c>
      <c r="D33" s="661">
        <v>40000000</v>
      </c>
      <c r="E33" s="661">
        <f>'다. 세입내역서'!E39</f>
        <v>40000000</v>
      </c>
      <c r="F33" s="652">
        <f>E33-D33</f>
        <v>0</v>
      </c>
      <c r="G33" s="1119">
        <f>F33/D33*100</f>
        <v>0</v>
      </c>
      <c r="H33" s="646"/>
      <c r="I33" s="570"/>
      <c r="J33" s="570" t="s">
        <v>129</v>
      </c>
      <c r="K33" s="571">
        <v>30000000</v>
      </c>
      <c r="L33" s="571">
        <f>'라. 세출내역서'!E766</f>
        <v>30000000</v>
      </c>
      <c r="M33" s="573">
        <f t="shared" si="4"/>
        <v>0</v>
      </c>
      <c r="N33" s="806">
        <f t="shared" si="5"/>
        <v>0</v>
      </c>
      <c r="O33" s="597"/>
      <c r="P33" s="650"/>
      <c r="Q33" s="641"/>
    </row>
    <row r="34" spans="1:17" ht="17.25" customHeight="1" x14ac:dyDescent="0.15">
      <c r="A34" s="642"/>
      <c r="B34" s="651"/>
      <c r="C34" s="651"/>
      <c r="D34" s="661"/>
      <c r="E34" s="661"/>
      <c r="F34" s="652"/>
      <c r="G34" s="1119"/>
      <c r="H34" s="646"/>
      <c r="I34" s="570"/>
      <c r="J34" s="570" t="s">
        <v>130</v>
      </c>
      <c r="K34" s="571">
        <v>1800000</v>
      </c>
      <c r="L34" s="571">
        <f>'라. 세출내역서'!E771</f>
        <v>4000000</v>
      </c>
      <c r="M34" s="573">
        <f t="shared" si="4"/>
        <v>2200000</v>
      </c>
      <c r="N34" s="806">
        <f t="shared" si="5"/>
        <v>122.22222222222223</v>
      </c>
      <c r="O34" s="597"/>
      <c r="P34" s="650"/>
      <c r="Q34" s="641"/>
    </row>
    <row r="35" spans="1:17" ht="23.25" customHeight="1" x14ac:dyDescent="0.15">
      <c r="A35" s="654" t="s">
        <v>295</v>
      </c>
      <c r="B35" s="1056" t="s">
        <v>255</v>
      </c>
      <c r="C35" s="1056"/>
      <c r="D35" s="100">
        <v>311147999</v>
      </c>
      <c r="E35" s="100">
        <f>E36</f>
        <v>103790000</v>
      </c>
      <c r="F35" s="100">
        <f>F36</f>
        <v>-207357999</v>
      </c>
      <c r="G35" s="1120">
        <f t="shared" ref="G35:G40" si="6">F35/D35*100</f>
        <v>-66.642883665146115</v>
      </c>
      <c r="H35" s="646"/>
      <c r="I35" s="570"/>
      <c r="J35" s="570" t="s">
        <v>131</v>
      </c>
      <c r="K35" s="571">
        <v>7150000</v>
      </c>
      <c r="L35" s="571">
        <f>'라. 세출내역서'!E773</f>
        <v>5500000</v>
      </c>
      <c r="M35" s="573">
        <f t="shared" si="4"/>
        <v>-1650000</v>
      </c>
      <c r="N35" s="806">
        <f t="shared" si="5"/>
        <v>-23.076923076923077</v>
      </c>
      <c r="O35" s="597"/>
      <c r="P35" s="650"/>
      <c r="Q35" s="641"/>
    </row>
    <row r="36" spans="1:17" ht="23.25" customHeight="1" x14ac:dyDescent="0.15">
      <c r="A36" s="642"/>
      <c r="B36" s="643" t="s">
        <v>295</v>
      </c>
      <c r="C36" s="643" t="s">
        <v>258</v>
      </c>
      <c r="D36" s="658">
        <v>311147999</v>
      </c>
      <c r="E36" s="658">
        <f>SUM(E37:E40)</f>
        <v>103790000</v>
      </c>
      <c r="F36" s="658">
        <f>SUM(F37:F41)</f>
        <v>-207357999</v>
      </c>
      <c r="G36" s="1121">
        <f t="shared" si="6"/>
        <v>-66.642883665146115</v>
      </c>
      <c r="H36" s="704"/>
      <c r="I36" s="705"/>
      <c r="J36" s="570" t="s">
        <v>132</v>
      </c>
      <c r="K36" s="706">
        <v>6000000</v>
      </c>
      <c r="L36" s="571">
        <f>'라. 세출내역서'!E775</f>
        <v>6000000</v>
      </c>
      <c r="M36" s="573">
        <f t="shared" si="4"/>
        <v>0</v>
      </c>
      <c r="N36" s="806">
        <v>100</v>
      </c>
      <c r="O36" s="597"/>
    </row>
    <row r="37" spans="1:17" ht="17.25" customHeight="1" x14ac:dyDescent="0.15">
      <c r="A37" s="642"/>
      <c r="B37" s="651"/>
      <c r="C37" s="742" t="s">
        <v>891</v>
      </c>
      <c r="D37" s="661">
        <v>250613106</v>
      </c>
      <c r="E37" s="661">
        <f>'다. 세입내역서'!E42</f>
        <v>50000000</v>
      </c>
      <c r="F37" s="743">
        <f>E37-D37</f>
        <v>-200613106</v>
      </c>
      <c r="G37" s="1129">
        <f t="shared" si="6"/>
        <v>-80.048928486605163</v>
      </c>
      <c r="H37" s="1058"/>
      <c r="I37" s="1059" t="s">
        <v>127</v>
      </c>
      <c r="J37" s="1060" t="s">
        <v>93</v>
      </c>
      <c r="K37" s="1061">
        <v>162799462</v>
      </c>
      <c r="L37" s="1061">
        <f>SUM(L38:L45)</f>
        <v>117612362</v>
      </c>
      <c r="M37" s="1062">
        <f>L37-K37</f>
        <v>-45187100</v>
      </c>
      <c r="N37" s="1063">
        <f>M37/K37*100</f>
        <v>-27.756295656554443</v>
      </c>
      <c r="O37" s="597"/>
    </row>
    <row r="38" spans="1:17" ht="17.25" customHeight="1" x14ac:dyDescent="0.15">
      <c r="A38" s="642"/>
      <c r="B38" s="651"/>
      <c r="C38" s="742" t="s">
        <v>898</v>
      </c>
      <c r="D38" s="661">
        <v>4721463</v>
      </c>
      <c r="E38" s="661">
        <f>'다. 세입내역서'!E43</f>
        <v>1120000</v>
      </c>
      <c r="F38" s="743">
        <f>E38-D38</f>
        <v>-3601463</v>
      </c>
      <c r="G38" s="1129">
        <f t="shared" si="6"/>
        <v>-76.278539088413908</v>
      </c>
      <c r="H38" s="704"/>
      <c r="I38" s="705"/>
      <c r="J38" s="570" t="s">
        <v>233</v>
      </c>
      <c r="K38" s="706">
        <v>66072362</v>
      </c>
      <c r="L38" s="706">
        <f>'라. 세출내역서'!E777</f>
        <v>66072362</v>
      </c>
      <c r="M38" s="573">
        <f t="shared" ref="M38:M47" si="7">L38-K38</f>
        <v>0</v>
      </c>
      <c r="N38" s="806">
        <f t="shared" ref="N38:N47" si="8">M38/K38*100</f>
        <v>0</v>
      </c>
      <c r="O38" s="597"/>
    </row>
    <row r="39" spans="1:17" ht="17.25" customHeight="1" x14ac:dyDescent="0.15">
      <c r="A39" s="642"/>
      <c r="B39" s="651"/>
      <c r="C39" s="742" t="s">
        <v>892</v>
      </c>
      <c r="D39" s="1064">
        <v>14424572</v>
      </c>
      <c r="E39" s="661">
        <f>'다. 세입내역서'!E44</f>
        <v>21700000</v>
      </c>
      <c r="F39" s="743">
        <f>E39-D39</f>
        <v>7275428</v>
      </c>
      <c r="G39" s="1129">
        <f t="shared" si="6"/>
        <v>50.437739157875882</v>
      </c>
      <c r="H39" s="704"/>
      <c r="I39" s="705"/>
      <c r="J39" s="570" t="str">
        <f>'라. 세출내역서'!C795</f>
        <v>환경개선사업비</v>
      </c>
      <c r="K39" s="706">
        <v>22000000</v>
      </c>
      <c r="L39" s="706">
        <f>'라. 세출내역서'!E795</f>
        <v>0</v>
      </c>
      <c r="M39" s="573">
        <f t="shared" si="7"/>
        <v>-22000000</v>
      </c>
      <c r="N39" s="806">
        <v>100</v>
      </c>
    </row>
    <row r="40" spans="1:17" ht="17.25" customHeight="1" x14ac:dyDescent="0.15">
      <c r="A40" s="642"/>
      <c r="B40" s="651"/>
      <c r="C40" s="734" t="s">
        <v>893</v>
      </c>
      <c r="D40" s="1064">
        <v>41388858</v>
      </c>
      <c r="E40" s="661">
        <f>'다. 세입내역서'!E45</f>
        <v>30970000</v>
      </c>
      <c r="F40" s="735">
        <f>E40-D40</f>
        <v>-10418858</v>
      </c>
      <c r="G40" s="1130">
        <f t="shared" si="6"/>
        <v>-25.173098518446679</v>
      </c>
      <c r="H40" s="704"/>
      <c r="I40" s="705"/>
      <c r="J40" s="570" t="s">
        <v>235</v>
      </c>
      <c r="K40" s="706">
        <v>32840000</v>
      </c>
      <c r="L40" s="706">
        <f>'라. 세출내역서'!E797</f>
        <v>32840000</v>
      </c>
      <c r="M40" s="573">
        <f t="shared" si="7"/>
        <v>0</v>
      </c>
      <c r="N40" s="806">
        <f t="shared" si="8"/>
        <v>0</v>
      </c>
    </row>
    <row r="41" spans="1:17" ht="17.25" customHeight="1" x14ac:dyDescent="0.15">
      <c r="A41" s="642"/>
      <c r="B41" s="651"/>
      <c r="C41" s="748" t="s">
        <v>102</v>
      </c>
      <c r="D41" s="759">
        <v>0</v>
      </c>
      <c r="E41" s="760">
        <v>0</v>
      </c>
      <c r="F41" s="735">
        <f>E41-D41</f>
        <v>0</v>
      </c>
      <c r="G41" s="1118">
        <v>0</v>
      </c>
      <c r="H41" s="704"/>
      <c r="I41" s="705"/>
      <c r="J41" s="570" t="s">
        <v>236</v>
      </c>
      <c r="K41" s="706">
        <v>6600000</v>
      </c>
      <c r="L41" s="706">
        <f>'라. 세출내역서'!E803</f>
        <v>6600000</v>
      </c>
      <c r="M41" s="573">
        <f t="shared" si="7"/>
        <v>0</v>
      </c>
      <c r="N41" s="806">
        <f t="shared" si="8"/>
        <v>0</v>
      </c>
    </row>
    <row r="42" spans="1:17" ht="17.25" customHeight="1" x14ac:dyDescent="0.15">
      <c r="A42" s="642"/>
      <c r="B42" s="651"/>
      <c r="C42" s="651"/>
      <c r="D42" s="661"/>
      <c r="E42" s="661"/>
      <c r="F42" s="652"/>
      <c r="G42" s="1119"/>
      <c r="H42" s="704"/>
      <c r="I42" s="705"/>
      <c r="J42" s="570" t="s">
        <v>237</v>
      </c>
      <c r="K42" s="706">
        <v>5000000</v>
      </c>
      <c r="L42" s="706">
        <f>'라. 세출내역서'!E806</f>
        <v>1000000</v>
      </c>
      <c r="M42" s="573">
        <f t="shared" si="7"/>
        <v>-4000000</v>
      </c>
      <c r="N42" s="816">
        <f t="shared" si="8"/>
        <v>-80</v>
      </c>
    </row>
    <row r="43" spans="1:17" ht="17.25" customHeight="1" x14ac:dyDescent="0.15">
      <c r="A43" s="642"/>
      <c r="B43" s="651"/>
      <c r="C43" s="651"/>
      <c r="D43" s="661"/>
      <c r="E43" s="661"/>
      <c r="F43" s="652"/>
      <c r="G43" s="1119"/>
      <c r="H43" s="704"/>
      <c r="I43" s="705"/>
      <c r="J43" s="570" t="s">
        <v>238</v>
      </c>
      <c r="K43" s="706">
        <v>2100000</v>
      </c>
      <c r="L43" s="706">
        <f>'라. 세출내역서'!E810</f>
        <v>2100000</v>
      </c>
      <c r="M43" s="573">
        <f t="shared" si="7"/>
        <v>0</v>
      </c>
      <c r="N43" s="816">
        <f t="shared" si="8"/>
        <v>0</v>
      </c>
    </row>
    <row r="44" spans="1:17" ht="17.25" customHeight="1" x14ac:dyDescent="0.15">
      <c r="A44" s="642"/>
      <c r="B44" s="651"/>
      <c r="C44" s="651"/>
      <c r="D44" s="661"/>
      <c r="E44" s="661"/>
      <c r="F44" s="652"/>
      <c r="G44" s="1132"/>
      <c r="H44" s="704"/>
      <c r="I44" s="705"/>
      <c r="J44" s="570" t="s">
        <v>945</v>
      </c>
      <c r="K44" s="706">
        <v>7140000</v>
      </c>
      <c r="L44" s="706">
        <f>'라. 세출내역서'!E813</f>
        <v>0</v>
      </c>
      <c r="M44" s="573">
        <f t="shared" ref="M44:M45" si="9">L44-K44</f>
        <v>-7140000</v>
      </c>
      <c r="N44" s="816">
        <v>0</v>
      </c>
    </row>
    <row r="45" spans="1:17" ht="17.25" customHeight="1" x14ac:dyDescent="0.15">
      <c r="A45" s="642"/>
      <c r="B45" s="651"/>
      <c r="C45" s="651"/>
      <c r="D45" s="661"/>
      <c r="E45" s="661"/>
      <c r="F45" s="652"/>
      <c r="G45" s="1132"/>
      <c r="H45" s="704"/>
      <c r="I45" s="705"/>
      <c r="J45" s="570" t="str">
        <f>'라. 세출내역서'!C815</f>
        <v>바보의나눔사업</v>
      </c>
      <c r="K45" s="706">
        <v>21047100</v>
      </c>
      <c r="L45" s="706">
        <f>'라. 세출내역서'!E815</f>
        <v>9000000</v>
      </c>
      <c r="M45" s="573">
        <f t="shared" si="9"/>
        <v>-12047100</v>
      </c>
      <c r="N45" s="816">
        <v>0</v>
      </c>
    </row>
    <row r="46" spans="1:17" ht="17.25" customHeight="1" x14ac:dyDescent="0.15">
      <c r="A46" s="654" t="s">
        <v>299</v>
      </c>
      <c r="B46" s="657" t="s">
        <v>255</v>
      </c>
      <c r="C46" s="657"/>
      <c r="D46" s="100">
        <v>49598471</v>
      </c>
      <c r="E46" s="100">
        <f>E47</f>
        <v>49399730</v>
      </c>
      <c r="F46" s="100">
        <f>F47</f>
        <v>-198741</v>
      </c>
      <c r="G46" s="1120">
        <f>F46/D46*100</f>
        <v>-0.40069985221923476</v>
      </c>
      <c r="H46" s="704"/>
      <c r="I46" s="647" t="s">
        <v>239</v>
      </c>
      <c r="J46" s="647" t="s">
        <v>93</v>
      </c>
      <c r="K46" s="707">
        <v>3600000</v>
      </c>
      <c r="L46" s="707">
        <f>L47</f>
        <v>3600000</v>
      </c>
      <c r="M46" s="649">
        <f>L46-K46</f>
        <v>0</v>
      </c>
      <c r="N46" s="805">
        <f>M46/K46*100</f>
        <v>0</v>
      </c>
    </row>
    <row r="47" spans="1:17" ht="17.25" customHeight="1" x14ac:dyDescent="0.15">
      <c r="A47" s="642"/>
      <c r="B47" s="643" t="s">
        <v>299</v>
      </c>
      <c r="C47" s="643" t="s">
        <v>258</v>
      </c>
      <c r="D47" s="658">
        <v>49598471</v>
      </c>
      <c r="E47" s="658">
        <f>SUM(E48:E50)</f>
        <v>49399730</v>
      </c>
      <c r="F47" s="658">
        <f>SUM(F48:F50)</f>
        <v>-198741</v>
      </c>
      <c r="G47" s="1121">
        <f>F47/D47*100</f>
        <v>-0.40069985221923476</v>
      </c>
      <c r="H47" s="704"/>
      <c r="I47" s="570"/>
      <c r="J47" s="570" t="s">
        <v>240</v>
      </c>
      <c r="K47" s="706">
        <v>3600000</v>
      </c>
      <c r="L47" s="706">
        <f>'라. 세출내역서'!E818</f>
        <v>3600000</v>
      </c>
      <c r="M47" s="573">
        <f t="shared" si="7"/>
        <v>0</v>
      </c>
      <c r="N47" s="806">
        <f t="shared" si="8"/>
        <v>0</v>
      </c>
    </row>
    <row r="48" spans="1:17" ht="17.25" customHeight="1" x14ac:dyDescent="0.15">
      <c r="A48" s="642"/>
      <c r="B48" s="651"/>
      <c r="C48" s="651" t="s">
        <v>302</v>
      </c>
      <c r="D48" s="661">
        <v>500000</v>
      </c>
      <c r="E48" s="661">
        <f>'다. 세입내역서'!E49</f>
        <v>500000</v>
      </c>
      <c r="F48" s="652">
        <f>E48-D48</f>
        <v>0</v>
      </c>
      <c r="G48" s="1119">
        <f>F48/D48*100</f>
        <v>0</v>
      </c>
      <c r="H48" s="708" t="s">
        <v>241</v>
      </c>
      <c r="I48" s="593" t="s">
        <v>91</v>
      </c>
      <c r="J48" s="593"/>
      <c r="K48" s="709">
        <v>2088570</v>
      </c>
      <c r="L48" s="709">
        <f>L49</f>
        <v>1609200</v>
      </c>
      <c r="M48" s="588">
        <f t="shared" ref="M48:M56" si="10">L48-K48</f>
        <v>-479370</v>
      </c>
      <c r="N48" s="817">
        <f t="shared" ref="N48:N56" si="11">M48/K48*100</f>
        <v>-22.952067682672833</v>
      </c>
    </row>
    <row r="49" spans="1:14" ht="17.25" customHeight="1" x14ac:dyDescent="0.15">
      <c r="A49" s="642"/>
      <c r="B49" s="651"/>
      <c r="C49" s="651" t="s">
        <v>304</v>
      </c>
      <c r="D49" s="661">
        <v>948471</v>
      </c>
      <c r="E49" s="661">
        <f>'다. 세입내역서'!E50</f>
        <v>749730</v>
      </c>
      <c r="F49" s="652">
        <f>E49-D49</f>
        <v>-198741</v>
      </c>
      <c r="G49" s="1119">
        <f>F49/D49*100</f>
        <v>-20.953829900966923</v>
      </c>
      <c r="H49" s="704"/>
      <c r="I49" s="647" t="s">
        <v>241</v>
      </c>
      <c r="J49" s="647" t="s">
        <v>93</v>
      </c>
      <c r="K49" s="707">
        <v>2088570</v>
      </c>
      <c r="L49" s="707">
        <f>L50</f>
        <v>1609200</v>
      </c>
      <c r="M49" s="649">
        <f t="shared" si="10"/>
        <v>-479370</v>
      </c>
      <c r="N49" s="815">
        <f t="shared" si="11"/>
        <v>-22.952067682672833</v>
      </c>
    </row>
    <row r="50" spans="1:14" ht="17.25" customHeight="1" x14ac:dyDescent="0.15">
      <c r="A50" s="642"/>
      <c r="B50" s="651"/>
      <c r="C50" s="651" t="s">
        <v>305</v>
      </c>
      <c r="D50" s="661">
        <v>48150000</v>
      </c>
      <c r="E50" s="661">
        <f>'다. 세입내역서'!E51</f>
        <v>48150000</v>
      </c>
      <c r="F50" s="652">
        <f>E50-D50</f>
        <v>0</v>
      </c>
      <c r="G50" s="1119">
        <f>F50/D50*100</f>
        <v>0</v>
      </c>
      <c r="H50" s="704"/>
      <c r="I50" s="570"/>
      <c r="J50" s="570" t="s">
        <v>241</v>
      </c>
      <c r="K50" s="706">
        <v>2088570</v>
      </c>
      <c r="L50" s="706">
        <f>'라. 세출내역서'!E822</f>
        <v>1609200</v>
      </c>
      <c r="M50" s="573">
        <f t="shared" si="10"/>
        <v>-479370</v>
      </c>
      <c r="N50" s="816">
        <f t="shared" si="11"/>
        <v>-22.952067682672833</v>
      </c>
    </row>
    <row r="51" spans="1:14" ht="17.25" customHeight="1" x14ac:dyDescent="0.15">
      <c r="A51" s="832"/>
      <c r="B51" s="669"/>
      <c r="C51" s="669"/>
      <c r="D51" s="669"/>
      <c r="E51" s="669"/>
      <c r="F51" s="669"/>
      <c r="G51" s="1122"/>
      <c r="H51" s="708" t="s">
        <v>134</v>
      </c>
      <c r="I51" s="593" t="s">
        <v>91</v>
      </c>
      <c r="J51" s="593"/>
      <c r="K51" s="709">
        <v>473364</v>
      </c>
      <c r="L51" s="709">
        <f>L52</f>
        <v>549730</v>
      </c>
      <c r="M51" s="588">
        <f t="shared" si="10"/>
        <v>76366</v>
      </c>
      <c r="N51" s="807">
        <f t="shared" si="11"/>
        <v>16.1326167600409</v>
      </c>
    </row>
    <row r="52" spans="1:14" ht="17.25" customHeight="1" x14ac:dyDescent="0.15">
      <c r="A52" s="642"/>
      <c r="B52" s="651"/>
      <c r="C52" s="651"/>
      <c r="D52" s="670"/>
      <c r="E52" s="670"/>
      <c r="F52" s="670"/>
      <c r="G52" s="1122"/>
      <c r="H52" s="704"/>
      <c r="I52" s="647" t="s">
        <v>134</v>
      </c>
      <c r="J52" s="647" t="s">
        <v>93</v>
      </c>
      <c r="K52" s="707">
        <v>473364</v>
      </c>
      <c r="L52" s="707">
        <f>L53</f>
        <v>549730</v>
      </c>
      <c r="M52" s="649">
        <f t="shared" si="10"/>
        <v>76366</v>
      </c>
      <c r="N52" s="805">
        <f t="shared" si="11"/>
        <v>16.1326167600409</v>
      </c>
    </row>
    <row r="53" spans="1:14" ht="17.25" customHeight="1" x14ac:dyDescent="0.15">
      <c r="A53" s="642"/>
      <c r="B53" s="651"/>
      <c r="C53" s="651"/>
      <c r="D53" s="670"/>
      <c r="E53" s="670"/>
      <c r="F53" s="670"/>
      <c r="G53" s="1122"/>
      <c r="H53" s="704"/>
      <c r="I53" s="570"/>
      <c r="J53" s="570" t="s">
        <v>134</v>
      </c>
      <c r="K53" s="706">
        <v>473364</v>
      </c>
      <c r="L53" s="706">
        <f>'라. 세출내역서'!E829</f>
        <v>549730</v>
      </c>
      <c r="M53" s="573">
        <f t="shared" si="10"/>
        <v>76366</v>
      </c>
      <c r="N53" s="806">
        <f t="shared" si="11"/>
        <v>16.1326167600409</v>
      </c>
    </row>
    <row r="54" spans="1:14" ht="17.25" customHeight="1" x14ac:dyDescent="0.15">
      <c r="A54" s="642"/>
      <c r="B54" s="651"/>
      <c r="C54" s="651"/>
      <c r="D54" s="670"/>
      <c r="E54" s="670"/>
      <c r="F54" s="670"/>
      <c r="G54" s="1122"/>
      <c r="H54" s="667" t="s">
        <v>135</v>
      </c>
      <c r="I54" s="593" t="s">
        <v>91</v>
      </c>
      <c r="J54" s="593"/>
      <c r="K54" s="709">
        <v>250616006</v>
      </c>
      <c r="L54" s="709">
        <f>L55</f>
        <v>50002900</v>
      </c>
      <c r="M54" s="588">
        <f t="shared" si="10"/>
        <v>-200613106</v>
      </c>
      <c r="N54" s="807">
        <f t="shared" si="11"/>
        <v>-80.048002201423643</v>
      </c>
    </row>
    <row r="55" spans="1:14" ht="17.25" customHeight="1" x14ac:dyDescent="0.15">
      <c r="A55" s="642"/>
      <c r="B55" s="651"/>
      <c r="C55" s="651"/>
      <c r="D55" s="670"/>
      <c r="E55" s="670"/>
      <c r="F55" s="670"/>
      <c r="G55" s="1122"/>
      <c r="H55" s="704"/>
      <c r="I55" s="647" t="s">
        <v>135</v>
      </c>
      <c r="J55" s="647" t="s">
        <v>93</v>
      </c>
      <c r="K55" s="707">
        <v>250616006</v>
      </c>
      <c r="L55" s="707">
        <f>L56</f>
        <v>50002900</v>
      </c>
      <c r="M55" s="649">
        <f t="shared" si="10"/>
        <v>-200613106</v>
      </c>
      <c r="N55" s="805">
        <f t="shared" si="11"/>
        <v>-80.048002201423643</v>
      </c>
    </row>
    <row r="56" spans="1:14" ht="17.25" customHeight="1" x14ac:dyDescent="0.15">
      <c r="A56" s="671"/>
      <c r="B56" s="672"/>
      <c r="C56" s="672"/>
      <c r="D56" s="673"/>
      <c r="E56" s="673"/>
      <c r="F56" s="673"/>
      <c r="G56" s="1123"/>
      <c r="H56" s="710"/>
      <c r="I56" s="711"/>
      <c r="J56" s="677" t="s">
        <v>242</v>
      </c>
      <c r="K56" s="712">
        <v>250616006</v>
      </c>
      <c r="L56" s="712">
        <f>'라. 세출내역서'!E833</f>
        <v>50002900</v>
      </c>
      <c r="M56" s="610">
        <f t="shared" si="10"/>
        <v>-200613106</v>
      </c>
      <c r="N56" s="808">
        <f t="shared" si="11"/>
        <v>-80.048002201423643</v>
      </c>
    </row>
    <row r="57" spans="1:14" ht="12.95" customHeight="1" x14ac:dyDescent="0.15">
      <c r="A57" s="679"/>
      <c r="B57" s="679"/>
      <c r="C57" s="679"/>
      <c r="H57" s="681"/>
      <c r="I57" s="681"/>
      <c r="J57" s="682"/>
      <c r="K57" s="600"/>
      <c r="L57" s="600"/>
      <c r="M57" s="600"/>
      <c r="N57" s="600"/>
    </row>
    <row r="58" spans="1:14" ht="12.95" customHeight="1" x14ac:dyDescent="0.15">
      <c r="H58" s="683"/>
      <c r="I58" s="683"/>
      <c r="J58" s="684"/>
      <c r="K58" s="600"/>
      <c r="L58" s="600"/>
      <c r="M58" s="600"/>
      <c r="N58" s="600"/>
    </row>
    <row r="59" spans="1:14" ht="12.95" customHeight="1" x14ac:dyDescent="0.15">
      <c r="H59" s="683"/>
      <c r="I59" s="683"/>
      <c r="J59" s="684"/>
      <c r="K59" s="600"/>
      <c r="L59" s="600"/>
      <c r="M59" s="600"/>
      <c r="N59" s="600"/>
    </row>
    <row r="60" spans="1:14" ht="12.95" customHeight="1" x14ac:dyDescent="0.15">
      <c r="H60" s="685"/>
      <c r="I60" s="685"/>
      <c r="J60" s="686"/>
      <c r="K60" s="680"/>
      <c r="M60" s="680"/>
      <c r="N60" s="680"/>
    </row>
    <row r="61" spans="1:14" ht="12.95" customHeight="1" x14ac:dyDescent="0.15">
      <c r="H61" s="685"/>
      <c r="I61" s="685"/>
      <c r="J61" s="686"/>
      <c r="K61" s="680"/>
      <c r="M61" s="680"/>
      <c r="N61" s="680"/>
    </row>
  </sheetData>
  <mergeCells count="19"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B8:C8"/>
    <mergeCell ref="B11:C11"/>
    <mergeCell ref="B14:C14"/>
    <mergeCell ref="A7:C7"/>
    <mergeCell ref="H7:J7"/>
  </mergeCells>
  <phoneticPr fontId="4" type="noConversion"/>
  <printOptions horizontalCentered="1"/>
  <pageMargins left="0.27" right="0.14000000000000001" top="0.49" bottom="0.23" header="0.2" footer="0.13"/>
  <pageSetup paperSize="9" scale="87" fitToHeight="0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opLeftCell="C1" zoomScaleNormal="100" zoomScaleSheetLayoutView="100" workbookViewId="0">
      <selection activeCell="D6" sqref="D6:D51"/>
    </sheetView>
  </sheetViews>
  <sheetFormatPr defaultRowHeight="12.95" customHeight="1" x14ac:dyDescent="0.15"/>
  <cols>
    <col min="1" max="2" width="10.375" style="537" customWidth="1"/>
    <col min="3" max="3" width="17.5" style="537" customWidth="1"/>
    <col min="4" max="4" width="13.75" style="539" customWidth="1"/>
    <col min="5" max="5" width="13.75" style="102" customWidth="1"/>
    <col min="6" max="6" width="12.125" style="102" customWidth="1"/>
    <col min="7" max="7" width="9" style="713" customWidth="1"/>
    <col min="8" max="8" width="15.125" style="679" customWidth="1"/>
    <col min="9" max="9" width="36.375" style="543" customWidth="1"/>
    <col min="10" max="10" width="31.375" style="543" customWidth="1"/>
    <col min="11" max="11" width="13" style="543" hidden="1" customWidth="1"/>
    <col min="12" max="12" width="13.5" style="545" hidden="1" customWidth="1"/>
    <col min="13" max="15" width="11.875" style="545" hidden="1" customWidth="1"/>
    <col min="16" max="16" width="12.25" style="545" hidden="1" customWidth="1"/>
    <col min="17" max="16384" width="9" style="545"/>
  </cols>
  <sheetData>
    <row r="1" spans="1:14" ht="12" customHeight="1" x14ac:dyDescent="0.15"/>
    <row r="2" spans="1:14" ht="27.75" customHeight="1" x14ac:dyDescent="0.15">
      <c r="A2" s="1306" t="s">
        <v>61</v>
      </c>
      <c r="B2" s="1306"/>
      <c r="C2" s="1306"/>
      <c r="D2" s="1306"/>
      <c r="E2" s="1306"/>
      <c r="F2" s="1306"/>
      <c r="G2" s="1306"/>
      <c r="H2" s="1306"/>
      <c r="I2" s="1306"/>
      <c r="J2" s="1306"/>
      <c r="K2" s="714"/>
    </row>
    <row r="3" spans="1:14" ht="22.7" customHeight="1" x14ac:dyDescent="0.15">
      <c r="A3" s="552"/>
      <c r="B3" s="552"/>
      <c r="C3" s="552"/>
      <c r="D3" s="552"/>
      <c r="E3" s="552"/>
      <c r="F3" s="552"/>
      <c r="G3" s="715"/>
      <c r="H3" s="552"/>
      <c r="I3" s="552"/>
      <c r="J3" s="716" t="s">
        <v>10</v>
      </c>
      <c r="K3" s="717"/>
    </row>
    <row r="4" spans="1:14" s="102" customFormat="1" ht="22.7" customHeight="1" x14ac:dyDescent="0.15">
      <c r="A4" s="1273" t="s">
        <v>0</v>
      </c>
      <c r="B4" s="1267"/>
      <c r="C4" s="1267"/>
      <c r="D4" s="1257" t="str">
        <f>'나. 세입세출(총괄)'!$D$5</f>
        <v>전년도예산
(A)</v>
      </c>
      <c r="E4" s="1257" t="str">
        <f>'나. 세입세출(총괄)'!$E$5</f>
        <v>2023년예산
 (B)</v>
      </c>
      <c r="F4" s="1257" t="s">
        <v>57</v>
      </c>
      <c r="G4" s="1298" t="s">
        <v>56</v>
      </c>
      <c r="H4" s="1310" t="s">
        <v>8</v>
      </c>
      <c r="I4" s="1311"/>
      <c r="J4" s="1312"/>
      <c r="K4" s="537"/>
      <c r="N4" s="545"/>
    </row>
    <row r="5" spans="1:14" s="102" customFormat="1" ht="22.7" customHeight="1" thickBot="1" x14ac:dyDescent="0.2">
      <c r="A5" s="818" t="s">
        <v>1</v>
      </c>
      <c r="B5" s="819" t="s">
        <v>2</v>
      </c>
      <c r="C5" s="819" t="s">
        <v>11</v>
      </c>
      <c r="D5" s="1258"/>
      <c r="E5" s="1258"/>
      <c r="F5" s="1258"/>
      <c r="G5" s="1299"/>
      <c r="H5" s="1313"/>
      <c r="I5" s="1314"/>
      <c r="J5" s="1315"/>
      <c r="K5" s="537"/>
      <c r="N5" s="545"/>
    </row>
    <row r="6" spans="1:14" s="102" customFormat="1" ht="22.7" customHeight="1" thickTop="1" thickBot="1" x14ac:dyDescent="0.2">
      <c r="A6" s="1307" t="s">
        <v>4</v>
      </c>
      <c r="B6" s="1308"/>
      <c r="C6" s="1309"/>
      <c r="D6" s="718">
        <v>4484599000</v>
      </c>
      <c r="E6" s="719">
        <f>E7+E13+E16+E37+E40+E47+E10+E33</f>
        <v>4265740000</v>
      </c>
      <c r="F6" s="720">
        <f>F7+F13+F16+F37+F40+F47+F10+F33</f>
        <v>-218859000</v>
      </c>
      <c r="G6" s="721">
        <f>F6/D6*100</f>
        <v>-4.8802356687855477</v>
      </c>
      <c r="H6" s="1316"/>
      <c r="I6" s="1317"/>
      <c r="J6" s="1318"/>
      <c r="K6" s="722">
        <f>E6-'라. 세출내역서'!E7</f>
        <v>0</v>
      </c>
      <c r="N6" s="919">
        <f>E6-'라. 세출내역서'!E7</f>
        <v>0</v>
      </c>
    </row>
    <row r="7" spans="1:14" s="729" customFormat="1" ht="24" customHeight="1" thickTop="1" x14ac:dyDescent="0.15">
      <c r="A7" s="723" t="s">
        <v>90</v>
      </c>
      <c r="B7" s="724" t="s">
        <v>91</v>
      </c>
      <c r="C7" s="724"/>
      <c r="D7" s="725">
        <v>79800000</v>
      </c>
      <c r="E7" s="725">
        <f>E8</f>
        <v>84000000</v>
      </c>
      <c r="F7" s="725">
        <f>F8</f>
        <v>4200000</v>
      </c>
      <c r="G7" s="726">
        <f t="shared" ref="G7:G51" si="0">F7/D7*100</f>
        <v>5.2631578947368416</v>
      </c>
      <c r="H7" s="1296"/>
      <c r="I7" s="1296"/>
      <c r="J7" s="1297"/>
      <c r="K7" s="727"/>
      <c r="L7" s="728"/>
    </row>
    <row r="8" spans="1:14" s="729" customFormat="1" ht="24" customHeight="1" x14ac:dyDescent="0.15">
      <c r="A8" s="730"/>
      <c r="B8" s="731" t="s">
        <v>92</v>
      </c>
      <c r="C8" s="731" t="s">
        <v>93</v>
      </c>
      <c r="D8" s="732">
        <v>79800000</v>
      </c>
      <c r="E8" s="732">
        <f>E9</f>
        <v>84000000</v>
      </c>
      <c r="F8" s="732">
        <f>F9</f>
        <v>4200000</v>
      </c>
      <c r="G8" s="733">
        <f>F8/D8*100</f>
        <v>5.2631578947368416</v>
      </c>
      <c r="H8" s="1319"/>
      <c r="I8" s="1319"/>
      <c r="J8" s="1325"/>
      <c r="K8" s="727"/>
    </row>
    <row r="9" spans="1:14" s="729" customFormat="1" ht="24" customHeight="1" x14ac:dyDescent="0.15">
      <c r="A9" s="730"/>
      <c r="B9" s="734"/>
      <c r="C9" s="734" t="s">
        <v>92</v>
      </c>
      <c r="D9" s="735">
        <v>79800000</v>
      </c>
      <c r="E9" s="735">
        <v>84000000</v>
      </c>
      <c r="F9" s="735">
        <f>E9-D9</f>
        <v>4200000</v>
      </c>
      <c r="G9" s="736">
        <f t="shared" si="0"/>
        <v>5.2631578947368416</v>
      </c>
      <c r="H9" s="1300" t="s">
        <v>1316</v>
      </c>
      <c r="I9" s="1301"/>
      <c r="J9" s="1302"/>
      <c r="K9" s="737"/>
    </row>
    <row r="10" spans="1:14" s="729" customFormat="1" ht="17.25" customHeight="1" x14ac:dyDescent="0.15">
      <c r="A10" s="738" t="s">
        <v>94</v>
      </c>
      <c r="B10" s="739" t="s">
        <v>91</v>
      </c>
      <c r="C10" s="739"/>
      <c r="D10" s="740">
        <v>0</v>
      </c>
      <c r="E10" s="740">
        <v>0</v>
      </c>
      <c r="F10" s="740">
        <v>0</v>
      </c>
      <c r="G10" s="726">
        <v>0</v>
      </c>
      <c r="H10" s="1303"/>
      <c r="I10" s="1304"/>
      <c r="J10" s="1305"/>
      <c r="K10" s="737"/>
    </row>
    <row r="11" spans="1:14" s="729" customFormat="1" ht="17.25" customHeight="1" x14ac:dyDescent="0.15">
      <c r="A11" s="741"/>
      <c r="B11" s="731" t="s">
        <v>94</v>
      </c>
      <c r="C11" s="731" t="s">
        <v>93</v>
      </c>
      <c r="D11" s="732">
        <v>0</v>
      </c>
      <c r="E11" s="732">
        <v>0</v>
      </c>
      <c r="F11" s="732">
        <v>0</v>
      </c>
      <c r="G11" s="733">
        <v>0</v>
      </c>
      <c r="H11" s="1319"/>
      <c r="I11" s="1320"/>
      <c r="J11" s="1321"/>
      <c r="K11" s="737"/>
    </row>
    <row r="12" spans="1:14" s="729" customFormat="1" ht="17.25" customHeight="1" x14ac:dyDescent="0.15">
      <c r="A12" s="741"/>
      <c r="B12" s="742"/>
      <c r="C12" s="742" t="s">
        <v>95</v>
      </c>
      <c r="D12" s="743">
        <v>0</v>
      </c>
      <c r="E12" s="743">
        <v>0</v>
      </c>
      <c r="F12" s="743">
        <v>0</v>
      </c>
      <c r="G12" s="736">
        <v>0</v>
      </c>
      <c r="H12" s="1322"/>
      <c r="I12" s="1323"/>
      <c r="J12" s="1324"/>
      <c r="K12" s="737"/>
    </row>
    <row r="13" spans="1:14" s="729" customFormat="1" ht="17.25" customHeight="1" x14ac:dyDescent="0.15">
      <c r="A13" s="738" t="s">
        <v>96</v>
      </c>
      <c r="B13" s="739" t="s">
        <v>91</v>
      </c>
      <c r="C13" s="739"/>
      <c r="D13" s="740">
        <v>0</v>
      </c>
      <c r="E13" s="740">
        <v>0</v>
      </c>
      <c r="F13" s="740">
        <f>E13-D13</f>
        <v>0</v>
      </c>
      <c r="G13" s="726">
        <v>0</v>
      </c>
      <c r="H13" s="1303"/>
      <c r="I13" s="1304"/>
      <c r="J13" s="1305"/>
      <c r="K13" s="737"/>
    </row>
    <row r="14" spans="1:14" s="729" customFormat="1" ht="21.75" customHeight="1" x14ac:dyDescent="0.15">
      <c r="A14" s="741"/>
      <c r="B14" s="731" t="s">
        <v>96</v>
      </c>
      <c r="C14" s="731" t="s">
        <v>93</v>
      </c>
      <c r="D14" s="732">
        <v>0</v>
      </c>
      <c r="E14" s="732">
        <v>0</v>
      </c>
      <c r="F14" s="732">
        <f>E14-D14</f>
        <v>0</v>
      </c>
      <c r="G14" s="733">
        <v>0</v>
      </c>
      <c r="H14" s="1319"/>
      <c r="I14" s="1320"/>
      <c r="J14" s="1321"/>
      <c r="K14" s="737"/>
    </row>
    <row r="15" spans="1:14" s="745" customFormat="1" ht="27.75" customHeight="1" x14ac:dyDescent="0.15">
      <c r="A15" s="741"/>
      <c r="B15" s="742"/>
      <c r="C15" s="742" t="s">
        <v>96</v>
      </c>
      <c r="D15" s="743">
        <v>0</v>
      </c>
      <c r="E15" s="743">
        <v>0</v>
      </c>
      <c r="F15" s="743">
        <v>0</v>
      </c>
      <c r="G15" s="736">
        <v>0</v>
      </c>
      <c r="H15" s="1274"/>
      <c r="I15" s="1275"/>
      <c r="J15" s="1276"/>
      <c r="K15" s="744"/>
    </row>
    <row r="16" spans="1:14" s="729" customFormat="1" ht="24.75" customHeight="1" x14ac:dyDescent="0.15">
      <c r="A16" s="738" t="s">
        <v>97</v>
      </c>
      <c r="B16" s="739" t="s">
        <v>91</v>
      </c>
      <c r="C16" s="739"/>
      <c r="D16" s="740">
        <v>3608312530</v>
      </c>
      <c r="E16" s="740">
        <f>E17</f>
        <v>3635150270</v>
      </c>
      <c r="F16" s="740">
        <f t="shared" ref="F16:F22" si="1">E16-D16</f>
        <v>26837740</v>
      </c>
      <c r="G16" s="726">
        <f t="shared" si="0"/>
        <v>0.74377537358162271</v>
      </c>
      <c r="H16" s="1277"/>
      <c r="I16" s="1278"/>
      <c r="J16" s="1279"/>
      <c r="K16" s="746"/>
    </row>
    <row r="17" spans="1:16" s="729" customFormat="1" ht="26.25" customHeight="1" x14ac:dyDescent="0.15">
      <c r="A17" s="741"/>
      <c r="B17" s="731" t="s">
        <v>648</v>
      </c>
      <c r="C17" s="731" t="s">
        <v>93</v>
      </c>
      <c r="D17" s="732">
        <v>3608312530</v>
      </c>
      <c r="E17" s="732">
        <f>SUM(E18,E23,E30,E32,)</f>
        <v>3635150270</v>
      </c>
      <c r="F17" s="732">
        <f t="shared" si="1"/>
        <v>26837740</v>
      </c>
      <c r="G17" s="733">
        <f t="shared" si="0"/>
        <v>0.74377537358162271</v>
      </c>
      <c r="H17" s="1280"/>
      <c r="I17" s="1281"/>
      <c r="J17" s="1282"/>
      <c r="K17" s="746"/>
    </row>
    <row r="18" spans="1:16" s="729" customFormat="1" ht="61.5" customHeight="1" x14ac:dyDescent="0.15">
      <c r="A18" s="747"/>
      <c r="B18" s="1159"/>
      <c r="C18" s="1155" t="s">
        <v>966</v>
      </c>
      <c r="D18" s="1156">
        <v>3302048430</v>
      </c>
      <c r="E18" s="1156">
        <f>SUM(E19:E22)</f>
        <v>3342904930</v>
      </c>
      <c r="F18" s="1157">
        <f t="shared" si="1"/>
        <v>40856500</v>
      </c>
      <c r="G18" s="1158">
        <f t="shared" si="0"/>
        <v>1.2373077156836247</v>
      </c>
      <c r="H18" s="1283" t="s">
        <v>1292</v>
      </c>
      <c r="I18" s="1284"/>
      <c r="J18" s="1285"/>
      <c r="K18" s="746"/>
      <c r="M18" s="729" t="s">
        <v>1142</v>
      </c>
      <c r="N18" s="729" t="s">
        <v>1143</v>
      </c>
      <c r="O18" s="729" t="s">
        <v>1144</v>
      </c>
    </row>
    <row r="19" spans="1:16" s="729" customFormat="1" ht="17.25" customHeight="1" x14ac:dyDescent="0.15">
      <c r="A19" s="747"/>
      <c r="B19" s="748"/>
      <c r="C19" s="749" t="s">
        <v>962</v>
      </c>
      <c r="D19" s="750">
        <v>2965233690</v>
      </c>
      <c r="E19" s="750">
        <f>('라. 세출내역서'!H9-'다. 세입내역서'!E24-'다. 세입내역서'!E25-E31)</f>
        <v>3022463250</v>
      </c>
      <c r="F19" s="750">
        <f t="shared" si="1"/>
        <v>57229560</v>
      </c>
      <c r="G19" s="736">
        <f t="shared" si="0"/>
        <v>1.9300185409670021</v>
      </c>
      <c r="H19" s="1286"/>
      <c r="I19" s="1291"/>
      <c r="J19" s="1292"/>
      <c r="K19" s="746"/>
      <c r="L19" s="751">
        <f>'라. 세출내역서'!H9</f>
        <v>3275268590</v>
      </c>
      <c r="M19" s="751">
        <f>'사. 임직원보수 일람표'!I103+'사. 임직원보수 일람표'!J103+'사. 임직원보수 일람표'!K103+'사. 임직원보수 일람표'!M103</f>
        <v>2060421800</v>
      </c>
      <c r="N19" s="751">
        <f>'사. 임직원보수 일람표'!S103+'사. 임직원보수 일람표'!T103+'사. 임직원보수 일람표'!U103+'사. 임직원보수 일람표'!V103+'사. 임직원보수 일람표'!W103+'사. 임직원보수 일람표'!X103</f>
        <v>390389480</v>
      </c>
      <c r="O19" s="751">
        <f>'사. 임직원보수 일람표'!O103</f>
        <v>54170400</v>
      </c>
    </row>
    <row r="20" spans="1:16" s="729" customFormat="1" ht="17.25" customHeight="1" x14ac:dyDescent="0.15">
      <c r="A20" s="747"/>
      <c r="B20" s="748"/>
      <c r="C20" s="749" t="s">
        <v>963</v>
      </c>
      <c r="D20" s="750">
        <v>123899000</v>
      </c>
      <c r="E20" s="750">
        <f>('라. 세출내역서'!H677+'라. 세출내역서'!H682+'라. 세출내역서'!H726+'라. 세출내역서'!H766+'라. 세출내역서'!H777)</f>
        <v>123700000</v>
      </c>
      <c r="F20" s="750">
        <f t="shared" si="1"/>
        <v>-199000</v>
      </c>
      <c r="G20" s="736">
        <f t="shared" si="0"/>
        <v>-0.16061469422674921</v>
      </c>
      <c r="H20" s="1293"/>
      <c r="I20" s="1294"/>
      <c r="J20" s="932"/>
      <c r="K20" s="746"/>
      <c r="L20" s="751">
        <f>E19+E24+E25+E31</f>
        <v>3275268590</v>
      </c>
      <c r="M20" s="751">
        <f>'사. 임직원보수 일람표'!I149+'사. 임직원보수 일람표'!J149+'사. 임직원보수 일람표'!K149+'사. 임직원보수 일람표'!M149</f>
        <v>416187000</v>
      </c>
      <c r="N20" s="751">
        <f>'사. 임직원보수 일람표'!S149+'사. 임직원보수 일람표'!T149+'사. 임직원보수 일람표'!U149+'사. 임직원보수 일람표'!V149+'사. 임직원보수 일람표'!W149+'사. 임직원보수 일람표'!X149</f>
        <v>81459770</v>
      </c>
      <c r="O20" s="751">
        <f>'사. 임직원보수 일람표'!O149</f>
        <v>19834800</v>
      </c>
    </row>
    <row r="21" spans="1:16" s="729" customFormat="1" ht="17.25" customHeight="1" x14ac:dyDescent="0.15">
      <c r="A21" s="747"/>
      <c r="B21" s="748"/>
      <c r="C21" s="749" t="s">
        <v>286</v>
      </c>
      <c r="D21" s="750">
        <v>210815740</v>
      </c>
      <c r="E21" s="750">
        <f>'라. 세출내역서'!H759</f>
        <v>194641680</v>
      </c>
      <c r="F21" s="750">
        <f t="shared" si="1"/>
        <v>-16174060</v>
      </c>
      <c r="G21" s="736">
        <f t="shared" si="0"/>
        <v>-7.6721311226571611</v>
      </c>
      <c r="H21" s="1286"/>
      <c r="I21" s="1291"/>
      <c r="J21" s="932"/>
      <c r="K21" s="746"/>
      <c r="L21" s="751">
        <f>L19-L20</f>
        <v>0</v>
      </c>
      <c r="M21" s="751">
        <f>SUM(M19:M20)</f>
        <v>2476608800</v>
      </c>
      <c r="N21" s="751">
        <f>SUM(N19:N20)</f>
        <v>471849250</v>
      </c>
      <c r="O21" s="751">
        <f>SUM(O19:O20)</f>
        <v>74005200</v>
      </c>
      <c r="P21" s="751">
        <f>SUM(L21:O21)</f>
        <v>3022463250</v>
      </c>
    </row>
    <row r="22" spans="1:16" s="729" customFormat="1" ht="17.25" customHeight="1" x14ac:dyDescent="0.15">
      <c r="A22" s="747"/>
      <c r="B22" s="748"/>
      <c r="C22" s="749" t="s">
        <v>394</v>
      </c>
      <c r="D22" s="750">
        <v>2100000</v>
      </c>
      <c r="E22" s="750">
        <f>'라. 세출내역서'!E810</f>
        <v>2100000</v>
      </c>
      <c r="F22" s="750">
        <f t="shared" si="1"/>
        <v>0</v>
      </c>
      <c r="G22" s="736">
        <f t="shared" si="0"/>
        <v>0</v>
      </c>
      <c r="H22" s="1293"/>
      <c r="I22" s="1294"/>
      <c r="J22" s="932"/>
      <c r="K22" s="746"/>
    </row>
    <row r="23" spans="1:16" s="745" customFormat="1" ht="72.75" customHeight="1" x14ac:dyDescent="0.15">
      <c r="A23" s="747"/>
      <c r="B23" s="748"/>
      <c r="C23" s="1155" t="s">
        <v>429</v>
      </c>
      <c r="D23" s="1156">
        <v>222017050</v>
      </c>
      <c r="E23" s="1156">
        <f>SUM(E24:E29)</f>
        <v>202696110</v>
      </c>
      <c r="F23" s="1157">
        <f t="shared" ref="F23:F32" si="2">E23-D23</f>
        <v>-19320940</v>
      </c>
      <c r="G23" s="1158">
        <f t="shared" si="0"/>
        <v>-8.7024577616899244</v>
      </c>
      <c r="H23" s="1283" t="s">
        <v>1319</v>
      </c>
      <c r="I23" s="1284"/>
      <c r="J23" s="1285"/>
      <c r="K23" s="752"/>
      <c r="L23" s="752"/>
      <c r="M23" s="752"/>
      <c r="N23" s="752"/>
      <c r="O23" s="752"/>
    </row>
    <row r="24" spans="1:16" s="745" customFormat="1" ht="17.25" customHeight="1" x14ac:dyDescent="0.15">
      <c r="A24" s="747"/>
      <c r="B24" s="748"/>
      <c r="C24" s="749" t="s">
        <v>1295</v>
      </c>
      <c r="D24" s="750">
        <v>132338050</v>
      </c>
      <c r="E24" s="750">
        <f>'사. 임직원보수 일람표'!AA116-'사. 임직원보수 일람표'!P116</f>
        <v>134400810</v>
      </c>
      <c r="F24" s="735">
        <f>E24-D24</f>
        <v>2062760</v>
      </c>
      <c r="G24" s="736">
        <f t="shared" si="0"/>
        <v>1.5587051494260344</v>
      </c>
      <c r="H24" s="1286"/>
      <c r="I24" s="1287"/>
      <c r="J24" s="1288"/>
      <c r="K24" s="752"/>
      <c r="L24" s="1227">
        <f>E24-P24</f>
        <v>0</v>
      </c>
      <c r="M24" s="1227">
        <f>'사. 임직원보수 일람표'!I116+'사. 임직원보수 일람표'!J116+'사. 임직원보수 일람표'!K116+'사. 임직원보수 일람표'!M116</f>
        <v>109031400</v>
      </c>
      <c r="N24" s="1227">
        <f>'사. 임직원보수 일람표'!S116+'사. 임직원보수 일람표'!T116+'사. 임직원보수 일람표'!U116+'사. 임직원보수 일람표'!V116+'사. 임직원보수 일람표'!W116+'사. 임직원보수 일람표'!X116</f>
        <v>21288210</v>
      </c>
      <c r="O24" s="1227">
        <f>'사. 임직원보수 일람표'!O116</f>
        <v>4081200</v>
      </c>
      <c r="P24" s="1228">
        <f>SUM(M24:O24)</f>
        <v>134400810</v>
      </c>
    </row>
    <row r="25" spans="1:16" s="745" customFormat="1" ht="17.25" customHeight="1" x14ac:dyDescent="0.15">
      <c r="A25" s="747"/>
      <c r="B25" s="748"/>
      <c r="C25" s="749" t="s">
        <v>977</v>
      </c>
      <c r="D25" s="753">
        <v>28239000</v>
      </c>
      <c r="E25" s="750">
        <f>'사. 임직원보수 일람표'!P214</f>
        <v>28855300</v>
      </c>
      <c r="F25" s="735">
        <f t="shared" si="2"/>
        <v>616300</v>
      </c>
      <c r="G25" s="736">
        <f t="shared" si="0"/>
        <v>2.1824427210595276</v>
      </c>
      <c r="H25" s="1293"/>
      <c r="I25" s="1294"/>
      <c r="J25" s="1295"/>
      <c r="K25" s="752"/>
      <c r="L25" s="752"/>
      <c r="M25" s="752"/>
      <c r="N25" s="752"/>
      <c r="O25" s="752"/>
    </row>
    <row r="26" spans="1:16" s="745" customFormat="1" ht="17.25" customHeight="1" x14ac:dyDescent="0.15">
      <c r="A26" s="747"/>
      <c r="B26" s="748"/>
      <c r="C26" s="749" t="s">
        <v>395</v>
      </c>
      <c r="D26" s="750">
        <v>3600000</v>
      </c>
      <c r="E26" s="750">
        <v>3600000</v>
      </c>
      <c r="F26" s="735">
        <f t="shared" si="2"/>
        <v>0</v>
      </c>
      <c r="G26" s="736">
        <f t="shared" si="0"/>
        <v>0</v>
      </c>
      <c r="H26" s="1293"/>
      <c r="I26" s="1294"/>
      <c r="J26" s="1295"/>
      <c r="K26" s="752"/>
      <c r="L26" s="752"/>
      <c r="M26" s="752"/>
      <c r="N26" s="752"/>
      <c r="O26" s="752"/>
    </row>
    <row r="27" spans="1:16" s="745" customFormat="1" ht="17.25" customHeight="1" x14ac:dyDescent="0.15">
      <c r="A27" s="747"/>
      <c r="B27" s="748"/>
      <c r="C27" s="749" t="s">
        <v>133</v>
      </c>
      <c r="D27" s="750">
        <v>22000000</v>
      </c>
      <c r="E27" s="750"/>
      <c r="F27" s="735">
        <f t="shared" si="2"/>
        <v>-22000000</v>
      </c>
      <c r="G27" s="736">
        <v>0</v>
      </c>
      <c r="H27" s="1293"/>
      <c r="I27" s="1294"/>
      <c r="J27" s="1295"/>
      <c r="K27" s="752"/>
      <c r="L27" s="752"/>
      <c r="M27" s="752"/>
      <c r="N27" s="752"/>
      <c r="O27" s="752"/>
    </row>
    <row r="28" spans="1:16" s="745" customFormat="1" ht="17.25" customHeight="1" x14ac:dyDescent="0.15">
      <c r="A28" s="747"/>
      <c r="B28" s="748"/>
      <c r="C28" s="749" t="s">
        <v>396</v>
      </c>
      <c r="D28" s="750">
        <v>3000000</v>
      </c>
      <c r="E28" s="750">
        <v>3000000</v>
      </c>
      <c r="F28" s="735">
        <f t="shared" si="2"/>
        <v>0</v>
      </c>
      <c r="G28" s="736">
        <f t="shared" si="0"/>
        <v>0</v>
      </c>
      <c r="H28" s="1293"/>
      <c r="I28" s="1294"/>
      <c r="J28" s="1295"/>
      <c r="K28" s="752"/>
      <c r="L28" s="752"/>
      <c r="M28" s="752"/>
      <c r="N28" s="752"/>
      <c r="O28" s="752"/>
    </row>
    <row r="29" spans="1:16" s="745" customFormat="1" ht="17.25" customHeight="1" x14ac:dyDescent="0.15">
      <c r="A29" s="747"/>
      <c r="B29" s="748"/>
      <c r="C29" s="749" t="s">
        <v>976</v>
      </c>
      <c r="D29" s="750">
        <v>32840000</v>
      </c>
      <c r="E29" s="750">
        <v>32840000</v>
      </c>
      <c r="F29" s="735">
        <f t="shared" si="2"/>
        <v>0</v>
      </c>
      <c r="G29" s="736">
        <f t="shared" si="0"/>
        <v>0</v>
      </c>
      <c r="H29" s="1293"/>
      <c r="I29" s="1294"/>
      <c r="J29" s="1295"/>
      <c r="K29" s="752"/>
      <c r="L29" s="752"/>
      <c r="M29" s="752"/>
      <c r="N29" s="752"/>
      <c r="O29" s="752"/>
    </row>
    <row r="30" spans="1:16" s="745" customFormat="1" ht="32.25" customHeight="1" x14ac:dyDescent="0.15">
      <c r="A30" s="747"/>
      <c r="B30" s="748"/>
      <c r="C30" s="1155" t="s">
        <v>958</v>
      </c>
      <c r="D30" s="1160">
        <v>80247050</v>
      </c>
      <c r="E30" s="1161">
        <f>SUM(E31)</f>
        <v>89549230</v>
      </c>
      <c r="F30" s="1157">
        <f t="shared" si="2"/>
        <v>9302180</v>
      </c>
      <c r="G30" s="1158"/>
      <c r="H30" s="1283" t="s">
        <v>1293</v>
      </c>
      <c r="I30" s="1284"/>
      <c r="J30" s="1285"/>
      <c r="K30" s="752"/>
      <c r="L30" s="752"/>
      <c r="M30" s="752"/>
      <c r="N30" s="752"/>
      <c r="O30" s="752"/>
    </row>
    <row r="31" spans="1:16" s="745" customFormat="1" ht="22.5" customHeight="1" x14ac:dyDescent="0.15">
      <c r="A31" s="747"/>
      <c r="B31" s="748"/>
      <c r="C31" s="749" t="s">
        <v>959</v>
      </c>
      <c r="D31" s="753">
        <v>80247050</v>
      </c>
      <c r="E31" s="750">
        <f>'사. 임직원보수 일람표'!AA161</f>
        <v>89549230</v>
      </c>
      <c r="F31" s="735">
        <f t="shared" si="2"/>
        <v>9302180</v>
      </c>
      <c r="G31" s="736"/>
      <c r="H31" s="1289"/>
      <c r="I31" s="1290"/>
      <c r="J31" s="1150"/>
      <c r="K31" s="752"/>
      <c r="L31" s="1227">
        <f>E31-O31</f>
        <v>0</v>
      </c>
      <c r="M31" s="1227">
        <f>'사. 임직원보수 일람표'!I161+'사. 임직원보수 일람표'!J161+'사. 임직원보수 일람표'!K161+'사. 임직원보수 일람표'!M161+'사. 임직원보수 일람표'!O161</f>
        <v>75452760</v>
      </c>
      <c r="N31" s="1227">
        <f>'사. 임직원보수 일람표'!S161+'사. 임직원보수 일람표'!T161+'사. 임직원보수 일람표'!U161+'사. 임직원보수 일람표'!V161+'사. 임직원보수 일람표'!W161+'사. 임직원보수 일람표'!X161</f>
        <v>14096470</v>
      </c>
      <c r="O31" s="1227">
        <f>SUM(M31:N31)</f>
        <v>89549230</v>
      </c>
    </row>
    <row r="32" spans="1:16" s="745" customFormat="1" ht="24.75" customHeight="1" x14ac:dyDescent="0.15">
      <c r="A32" s="747"/>
      <c r="B32" s="748"/>
      <c r="C32" s="1213" t="s">
        <v>952</v>
      </c>
      <c r="D32" s="1156">
        <v>4000000</v>
      </c>
      <c r="E32" s="1156"/>
      <c r="F32" s="1157">
        <f t="shared" si="2"/>
        <v>-4000000</v>
      </c>
      <c r="G32" s="1158">
        <f t="shared" si="0"/>
        <v>-100</v>
      </c>
      <c r="H32" s="1283"/>
      <c r="I32" s="1284"/>
      <c r="J32" s="1285"/>
      <c r="K32" s="752"/>
      <c r="L32" s="752"/>
      <c r="M32" s="752"/>
      <c r="N32" s="752"/>
      <c r="O32" s="752"/>
    </row>
    <row r="33" spans="1:11" s="729" customFormat="1" ht="27" customHeight="1" x14ac:dyDescent="0.15">
      <c r="A33" s="738" t="s">
        <v>98</v>
      </c>
      <c r="B33" s="739" t="s">
        <v>91</v>
      </c>
      <c r="C33" s="754"/>
      <c r="D33" s="740">
        <v>395740000</v>
      </c>
      <c r="E33" s="740">
        <f>E34</f>
        <v>353400000</v>
      </c>
      <c r="F33" s="740">
        <f t="shared" ref="F33:F51" si="3">E33-D33</f>
        <v>-42340000</v>
      </c>
      <c r="G33" s="726">
        <f t="shared" si="0"/>
        <v>-10.698943750947592</v>
      </c>
      <c r="H33" s="1277"/>
      <c r="I33" s="1278"/>
      <c r="J33" s="1279"/>
      <c r="K33" s="746"/>
    </row>
    <row r="34" spans="1:11" s="729" customFormat="1" ht="27" customHeight="1" x14ac:dyDescent="0.15">
      <c r="A34" s="730"/>
      <c r="B34" s="731" t="s">
        <v>99</v>
      </c>
      <c r="C34" s="731" t="s">
        <v>93</v>
      </c>
      <c r="D34" s="732">
        <v>395740000</v>
      </c>
      <c r="E34" s="732">
        <f>SUM(E35:E36)</f>
        <v>353400000</v>
      </c>
      <c r="F34" s="732">
        <f t="shared" si="3"/>
        <v>-42340000</v>
      </c>
      <c r="G34" s="733">
        <f t="shared" si="0"/>
        <v>-10.698943750947592</v>
      </c>
      <c r="H34" s="1280"/>
      <c r="I34" s="1281"/>
      <c r="J34" s="1282"/>
      <c r="K34" s="746"/>
    </row>
    <row r="35" spans="1:11" s="729" customFormat="1" ht="64.5" customHeight="1" x14ac:dyDescent="0.15">
      <c r="A35" s="755"/>
      <c r="B35" s="756"/>
      <c r="C35" s="749" t="s">
        <v>953</v>
      </c>
      <c r="D35" s="757">
        <v>71740000</v>
      </c>
      <c r="E35" s="757">
        <f>16800000+3600000+9000000</f>
        <v>29400000</v>
      </c>
      <c r="F35" s="735">
        <f t="shared" si="3"/>
        <v>-42340000</v>
      </c>
      <c r="G35" s="736">
        <f t="shared" si="0"/>
        <v>-59.01867856147198</v>
      </c>
      <c r="H35" s="1344" t="s">
        <v>1349</v>
      </c>
      <c r="I35" s="1287"/>
      <c r="J35" s="1288"/>
      <c r="K35" s="746"/>
    </row>
    <row r="36" spans="1:11" s="729" customFormat="1" ht="27" customHeight="1" x14ac:dyDescent="0.15">
      <c r="A36" s="730"/>
      <c r="B36" s="734"/>
      <c r="C36" s="749" t="s">
        <v>954</v>
      </c>
      <c r="D36" s="757">
        <v>324000000</v>
      </c>
      <c r="E36" s="757">
        <f>27000000*12</f>
        <v>324000000</v>
      </c>
      <c r="F36" s="735">
        <f t="shared" si="3"/>
        <v>0</v>
      </c>
      <c r="G36" s="736">
        <f t="shared" si="0"/>
        <v>0</v>
      </c>
      <c r="H36" s="1356" t="s">
        <v>944</v>
      </c>
      <c r="I36" s="1333"/>
      <c r="J36" s="1334"/>
      <c r="K36" s="746"/>
    </row>
    <row r="37" spans="1:11" s="729" customFormat="1" ht="27" customHeight="1" x14ac:dyDescent="0.15">
      <c r="A37" s="738" t="s">
        <v>100</v>
      </c>
      <c r="B37" s="739" t="s">
        <v>91</v>
      </c>
      <c r="C37" s="739"/>
      <c r="D37" s="740">
        <v>40000000</v>
      </c>
      <c r="E37" s="740">
        <f>E38</f>
        <v>40000000</v>
      </c>
      <c r="F37" s="740">
        <f t="shared" si="3"/>
        <v>0</v>
      </c>
      <c r="G37" s="758">
        <f t="shared" si="0"/>
        <v>0</v>
      </c>
      <c r="H37" s="1277"/>
      <c r="I37" s="1278"/>
      <c r="J37" s="1279"/>
      <c r="K37" s="746"/>
    </row>
    <row r="38" spans="1:11" s="729" customFormat="1" ht="27" customHeight="1" x14ac:dyDescent="0.15">
      <c r="A38" s="730"/>
      <c r="B38" s="731" t="s">
        <v>100</v>
      </c>
      <c r="C38" s="731" t="s">
        <v>93</v>
      </c>
      <c r="D38" s="732">
        <v>40000000</v>
      </c>
      <c r="E38" s="732">
        <f>E39</f>
        <v>40000000</v>
      </c>
      <c r="F38" s="732">
        <f t="shared" si="3"/>
        <v>0</v>
      </c>
      <c r="G38" s="733">
        <f t="shared" si="0"/>
        <v>0</v>
      </c>
      <c r="H38" s="1280"/>
      <c r="I38" s="1281"/>
      <c r="J38" s="1282"/>
      <c r="K38" s="746"/>
    </row>
    <row r="39" spans="1:11" s="729" customFormat="1" ht="27" customHeight="1" x14ac:dyDescent="0.15">
      <c r="A39" s="730"/>
      <c r="B39" s="734"/>
      <c r="C39" s="749" t="s">
        <v>955</v>
      </c>
      <c r="D39" s="735">
        <v>40000000</v>
      </c>
      <c r="E39" s="735">
        <v>40000000</v>
      </c>
      <c r="F39" s="735">
        <f t="shared" si="3"/>
        <v>0</v>
      </c>
      <c r="G39" s="736">
        <f>F39/D39*100</f>
        <v>0</v>
      </c>
      <c r="H39" s="1341"/>
      <c r="I39" s="1342"/>
      <c r="J39" s="1343"/>
      <c r="K39" s="746"/>
    </row>
    <row r="40" spans="1:11" s="729" customFormat="1" ht="27" customHeight="1" x14ac:dyDescent="0.15">
      <c r="A40" s="738" t="s">
        <v>101</v>
      </c>
      <c r="B40" s="739" t="s">
        <v>91</v>
      </c>
      <c r="C40" s="739"/>
      <c r="D40" s="740">
        <v>311147999</v>
      </c>
      <c r="E40" s="740">
        <f>E41</f>
        <v>103790000</v>
      </c>
      <c r="F40" s="740">
        <f t="shared" si="3"/>
        <v>-207357999</v>
      </c>
      <c r="G40" s="758">
        <f t="shared" si="0"/>
        <v>-66.642883665146115</v>
      </c>
      <c r="H40" s="1350"/>
      <c r="I40" s="1351"/>
      <c r="J40" s="1352"/>
      <c r="K40" s="746"/>
    </row>
    <row r="41" spans="1:11" s="729" customFormat="1" ht="27" customHeight="1" x14ac:dyDescent="0.15">
      <c r="A41" s="730"/>
      <c r="B41" s="731" t="s">
        <v>101</v>
      </c>
      <c r="C41" s="731" t="s">
        <v>93</v>
      </c>
      <c r="D41" s="732">
        <v>311147999</v>
      </c>
      <c r="E41" s="732">
        <f>SUM(E42:E46)</f>
        <v>103790000</v>
      </c>
      <c r="F41" s="732">
        <f t="shared" si="3"/>
        <v>-207357999</v>
      </c>
      <c r="G41" s="733">
        <f t="shared" si="0"/>
        <v>-66.642883665146115</v>
      </c>
      <c r="H41" s="1353"/>
      <c r="I41" s="1354"/>
      <c r="J41" s="1355"/>
      <c r="K41" s="746"/>
    </row>
    <row r="42" spans="1:11" s="729" customFormat="1" ht="27" customHeight="1" x14ac:dyDescent="0.15">
      <c r="A42" s="730"/>
      <c r="B42" s="742"/>
      <c r="C42" s="742" t="s">
        <v>894</v>
      </c>
      <c r="D42" s="661">
        <v>250613106</v>
      </c>
      <c r="E42" s="661">
        <f>40000000+9850000+150000</f>
        <v>50000000</v>
      </c>
      <c r="F42" s="743">
        <f t="shared" si="3"/>
        <v>-200613106</v>
      </c>
      <c r="G42" s="1065">
        <f>F42/D42*100</f>
        <v>-80.048928486605163</v>
      </c>
      <c r="H42" s="1274" t="s">
        <v>1294</v>
      </c>
      <c r="I42" s="1347"/>
      <c r="J42" s="1348"/>
      <c r="K42" s="746"/>
    </row>
    <row r="43" spans="1:11" s="729" customFormat="1" ht="27" customHeight="1" x14ac:dyDescent="0.15">
      <c r="A43" s="730"/>
      <c r="B43" s="742"/>
      <c r="C43" s="742" t="s">
        <v>898</v>
      </c>
      <c r="D43" s="661">
        <v>4721463</v>
      </c>
      <c r="E43" s="661">
        <v>1120000</v>
      </c>
      <c r="F43" s="743">
        <f t="shared" si="3"/>
        <v>-3601463</v>
      </c>
      <c r="G43" s="1065">
        <f>F43/D43*100</f>
        <v>-76.278539088413908</v>
      </c>
      <c r="H43" s="1349" t="s">
        <v>1296</v>
      </c>
      <c r="I43" s="1347"/>
      <c r="J43" s="1348"/>
      <c r="K43" s="746"/>
    </row>
    <row r="44" spans="1:11" s="729" customFormat="1" ht="36.75" customHeight="1" x14ac:dyDescent="0.15">
      <c r="A44" s="730"/>
      <c r="B44" s="742"/>
      <c r="C44" s="742" t="s">
        <v>895</v>
      </c>
      <c r="D44" s="1064">
        <v>14424572</v>
      </c>
      <c r="E44" s="661">
        <f>4500000+15000000+2000000+170000+30000</f>
        <v>21700000</v>
      </c>
      <c r="F44" s="743">
        <f t="shared" si="3"/>
        <v>7275428</v>
      </c>
      <c r="G44" s="1065">
        <f>F44/D44*100</f>
        <v>50.437739157875882</v>
      </c>
      <c r="H44" s="1349" t="s">
        <v>1297</v>
      </c>
      <c r="I44" s="1347"/>
      <c r="J44" s="1348"/>
      <c r="K44" s="746"/>
    </row>
    <row r="45" spans="1:11" s="729" customFormat="1" ht="26.25" customHeight="1" x14ac:dyDescent="0.15">
      <c r="A45" s="730"/>
      <c r="B45" s="734"/>
      <c r="C45" s="734" t="s">
        <v>896</v>
      </c>
      <c r="D45" s="1064">
        <v>41388858</v>
      </c>
      <c r="E45" s="661">
        <f>20000000+10000000+970000</f>
        <v>30970000</v>
      </c>
      <c r="F45" s="735">
        <f t="shared" si="3"/>
        <v>-10418858</v>
      </c>
      <c r="G45" s="736">
        <f t="shared" si="0"/>
        <v>-25.173098518446679</v>
      </c>
      <c r="H45" s="1344" t="s">
        <v>1350</v>
      </c>
      <c r="I45" s="1345"/>
      <c r="J45" s="1346"/>
      <c r="K45" s="746"/>
    </row>
    <row r="46" spans="1:11" s="729" customFormat="1" ht="27" hidden="1" customHeight="1" x14ac:dyDescent="0.15">
      <c r="A46" s="747"/>
      <c r="B46" s="748"/>
      <c r="C46" s="748" t="s">
        <v>102</v>
      </c>
      <c r="D46" s="759">
        <v>0</v>
      </c>
      <c r="E46" s="760">
        <v>0</v>
      </c>
      <c r="F46" s="735">
        <f t="shared" si="3"/>
        <v>0</v>
      </c>
      <c r="G46" s="761">
        <v>0</v>
      </c>
      <c r="H46" s="1326"/>
      <c r="I46" s="1327"/>
      <c r="J46" s="1328"/>
      <c r="K46" s="746"/>
    </row>
    <row r="47" spans="1:11" s="729" customFormat="1" ht="26.25" customHeight="1" x14ac:dyDescent="0.15">
      <c r="A47" s="762" t="s">
        <v>103</v>
      </c>
      <c r="B47" s="754" t="s">
        <v>91</v>
      </c>
      <c r="C47" s="754"/>
      <c r="D47" s="740">
        <v>49598471</v>
      </c>
      <c r="E47" s="740">
        <f>E48</f>
        <v>49399730</v>
      </c>
      <c r="F47" s="740">
        <f t="shared" si="3"/>
        <v>-198741</v>
      </c>
      <c r="G47" s="763">
        <f t="shared" si="0"/>
        <v>-0.40069985221923476</v>
      </c>
      <c r="H47" s="1338"/>
      <c r="I47" s="1339"/>
      <c r="J47" s="1340"/>
      <c r="K47" s="746"/>
    </row>
    <row r="48" spans="1:11" s="729" customFormat="1" ht="24.75" customHeight="1" x14ac:dyDescent="0.15">
      <c r="A48" s="747"/>
      <c r="B48" s="764" t="s">
        <v>103</v>
      </c>
      <c r="C48" s="764" t="s">
        <v>93</v>
      </c>
      <c r="D48" s="732">
        <v>49598471</v>
      </c>
      <c r="E48" s="732">
        <f>SUM(E49:E51)</f>
        <v>49399730</v>
      </c>
      <c r="F48" s="732">
        <f t="shared" si="3"/>
        <v>-198741</v>
      </c>
      <c r="G48" s="765">
        <f t="shared" si="0"/>
        <v>-0.40069985221923476</v>
      </c>
      <c r="H48" s="1335"/>
      <c r="I48" s="1336"/>
      <c r="J48" s="1337"/>
      <c r="K48" s="746"/>
    </row>
    <row r="49" spans="1:11" s="729" customFormat="1" ht="24.75" customHeight="1" x14ac:dyDescent="0.15">
      <c r="A49" s="747"/>
      <c r="B49" s="748"/>
      <c r="C49" s="748" t="s">
        <v>104</v>
      </c>
      <c r="D49" s="759">
        <v>500000</v>
      </c>
      <c r="E49" s="760">
        <v>500000</v>
      </c>
      <c r="F49" s="735">
        <f t="shared" si="3"/>
        <v>0</v>
      </c>
      <c r="G49" s="761">
        <f t="shared" si="0"/>
        <v>0</v>
      </c>
      <c r="H49" s="1326"/>
      <c r="I49" s="1327"/>
      <c r="J49" s="1328"/>
      <c r="K49" s="746"/>
    </row>
    <row r="50" spans="1:11" s="729" customFormat="1" ht="24.75" customHeight="1" x14ac:dyDescent="0.15">
      <c r="A50" s="747"/>
      <c r="B50" s="748"/>
      <c r="C50" s="748" t="s">
        <v>105</v>
      </c>
      <c r="D50" s="759">
        <v>948471</v>
      </c>
      <c r="E50" s="760">
        <f>'라. 세출내역서'!H829+'라. 세출내역서'!Y6+'라. 세출내역서'!Y10</f>
        <v>749730</v>
      </c>
      <c r="F50" s="735">
        <f t="shared" si="3"/>
        <v>-198741</v>
      </c>
      <c r="G50" s="761">
        <f t="shared" si="0"/>
        <v>-20.953829900966923</v>
      </c>
      <c r="H50" s="1332" t="s">
        <v>1139</v>
      </c>
      <c r="I50" s="1333"/>
      <c r="J50" s="1334"/>
      <c r="K50" s="746"/>
    </row>
    <row r="51" spans="1:11" s="729" customFormat="1" ht="38.25" customHeight="1" x14ac:dyDescent="0.15">
      <c r="A51" s="766"/>
      <c r="B51" s="767"/>
      <c r="C51" s="767" t="s">
        <v>106</v>
      </c>
      <c r="D51" s="768">
        <v>48150000</v>
      </c>
      <c r="E51" s="768">
        <f>38400000+2750000+7000000</f>
        <v>48150000</v>
      </c>
      <c r="F51" s="769">
        <f t="shared" si="3"/>
        <v>0</v>
      </c>
      <c r="G51" s="770">
        <f t="shared" si="0"/>
        <v>0</v>
      </c>
      <c r="H51" s="1329" t="s">
        <v>1146</v>
      </c>
      <c r="I51" s="1330"/>
      <c r="J51" s="1331"/>
      <c r="K51" s="746"/>
    </row>
    <row r="52" spans="1:11" ht="12.95" hidden="1" customHeight="1" x14ac:dyDescent="0.15"/>
    <row r="53" spans="1:11" ht="12.95" hidden="1" customHeight="1" x14ac:dyDescent="0.15">
      <c r="C53" s="1139" t="s">
        <v>950</v>
      </c>
      <c r="D53" s="1144" t="s">
        <v>940</v>
      </c>
      <c r="E53" s="1140" t="s">
        <v>951</v>
      </c>
      <c r="F53" s="902" t="s">
        <v>949</v>
      </c>
    </row>
    <row r="54" spans="1:11" ht="12.95" hidden="1" customHeight="1" x14ac:dyDescent="0.15">
      <c r="B54" s="537" t="s">
        <v>936</v>
      </c>
      <c r="C54" s="1134">
        <f>E17+E42</f>
        <v>3685150270</v>
      </c>
      <c r="D54" s="1145">
        <f>'라. 세출내역서'!E829</f>
        <v>549730</v>
      </c>
      <c r="E54" s="1135">
        <f>SUM(C54:D54)</f>
        <v>3685700000</v>
      </c>
      <c r="F54" s="1141">
        <f>'라. 세출내역서'!H7</f>
        <v>3685700000</v>
      </c>
      <c r="G54" s="1115">
        <f>E54-F54</f>
        <v>0</v>
      </c>
      <c r="H54" s="1180"/>
    </row>
    <row r="55" spans="1:11" ht="12.95" hidden="1" customHeight="1" x14ac:dyDescent="0.15">
      <c r="B55" s="537" t="s">
        <v>937</v>
      </c>
      <c r="C55" s="1136">
        <f>SUM(E9,E39,E43,E44,E49,E51)</f>
        <v>195470000</v>
      </c>
      <c r="D55" s="1146">
        <f>'라. 세출내역서'!Y6</f>
        <v>100000</v>
      </c>
      <c r="E55" s="1135">
        <f>SUM(C55:D55)</f>
        <v>195570000</v>
      </c>
      <c r="F55" s="1142">
        <f>'라. 세출내역서'!I7+'라. 세출내역서'!J7</f>
        <v>195570000</v>
      </c>
      <c r="G55" s="1115">
        <f>E55-F55</f>
        <v>0</v>
      </c>
      <c r="H55" s="1180"/>
    </row>
    <row r="56" spans="1:11" ht="12.95" hidden="1" customHeight="1" x14ac:dyDescent="0.15">
      <c r="B56" s="537" t="s">
        <v>938</v>
      </c>
      <c r="C56" s="1137">
        <f>SUM(E35,E36,E45)</f>
        <v>384370000</v>
      </c>
      <c r="D56" s="1147">
        <f>'라. 세출내역서'!Y10</f>
        <v>100000</v>
      </c>
      <c r="E56" s="1138">
        <f>SUM(C56:D56)</f>
        <v>384470000</v>
      </c>
      <c r="F56" s="1143">
        <f>'라. 세출내역서'!K7</f>
        <v>384470000</v>
      </c>
      <c r="G56" s="1114">
        <f>E56-F56</f>
        <v>0</v>
      </c>
      <c r="H56" s="1180"/>
    </row>
    <row r="57" spans="1:11" ht="12.95" hidden="1" customHeight="1" x14ac:dyDescent="0.15">
      <c r="D57" s="1111">
        <f>SUM(D54:D56)</f>
        <v>749730</v>
      </c>
      <c r="E57" s="1111">
        <f>SUM(E54:E56)</f>
        <v>4265740000</v>
      </c>
      <c r="F57" s="1112">
        <f>SUM(F54:F56)</f>
        <v>4265740000</v>
      </c>
      <c r="G57" s="1114">
        <f t="shared" ref="G57" si="4">E57-F57</f>
        <v>0</v>
      </c>
    </row>
    <row r="58" spans="1:11" ht="12.95" hidden="1" customHeight="1" x14ac:dyDescent="0.15"/>
    <row r="59" spans="1:11" ht="12.95" customHeight="1" x14ac:dyDescent="0.15">
      <c r="C59" s="1113"/>
    </row>
  </sheetData>
  <mergeCells count="54">
    <mergeCell ref="H21:I21"/>
    <mergeCell ref="H22:I22"/>
    <mergeCell ref="H35:J35"/>
    <mergeCell ref="H36:J36"/>
    <mergeCell ref="H37:J37"/>
    <mergeCell ref="H38:J38"/>
    <mergeCell ref="H33:J33"/>
    <mergeCell ref="H34:J34"/>
    <mergeCell ref="H39:J39"/>
    <mergeCell ref="H45:J45"/>
    <mergeCell ref="H42:J42"/>
    <mergeCell ref="H44:J44"/>
    <mergeCell ref="H43:J43"/>
    <mergeCell ref="H40:J40"/>
    <mergeCell ref="H41:J41"/>
    <mergeCell ref="H46:J46"/>
    <mergeCell ref="H51:J51"/>
    <mergeCell ref="H50:J50"/>
    <mergeCell ref="H49:J49"/>
    <mergeCell ref="H48:J48"/>
    <mergeCell ref="H47:J47"/>
    <mergeCell ref="H11:J11"/>
    <mergeCell ref="H12:J12"/>
    <mergeCell ref="H13:J13"/>
    <mergeCell ref="H14:J14"/>
    <mergeCell ref="H8:J8"/>
    <mergeCell ref="A2:J2"/>
    <mergeCell ref="A6:C6"/>
    <mergeCell ref="E4:E5"/>
    <mergeCell ref="A4:C4"/>
    <mergeCell ref="D4:D5"/>
    <mergeCell ref="H4:J5"/>
    <mergeCell ref="H6:J6"/>
    <mergeCell ref="H7:J7"/>
    <mergeCell ref="G4:G5"/>
    <mergeCell ref="F4:F5"/>
    <mergeCell ref="H9:J9"/>
    <mergeCell ref="H10:J10"/>
    <mergeCell ref="H15:J15"/>
    <mergeCell ref="H16:J16"/>
    <mergeCell ref="H17:J17"/>
    <mergeCell ref="H18:J18"/>
    <mergeCell ref="H32:J32"/>
    <mergeCell ref="H24:J24"/>
    <mergeCell ref="H23:J23"/>
    <mergeCell ref="H30:J30"/>
    <mergeCell ref="H31:I31"/>
    <mergeCell ref="H19:J19"/>
    <mergeCell ref="H20:I20"/>
    <mergeCell ref="H25:J25"/>
    <mergeCell ref="H26:J26"/>
    <mergeCell ref="H27:J27"/>
    <mergeCell ref="H28:J28"/>
    <mergeCell ref="H29:J29"/>
  </mergeCells>
  <phoneticPr fontId="4" type="noConversion"/>
  <printOptions horizontalCentered="1"/>
  <pageMargins left="0.34" right="0.13" top="0.76" bottom="0.2" header="0.33" footer="0.13"/>
  <pageSetup paperSize="9" scale="86" fitToHeight="0" orientation="landscape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46"/>
  <sheetViews>
    <sheetView topLeftCell="C1" zoomScaleNormal="100" zoomScaleSheetLayoutView="85" workbookViewId="0">
      <pane xSplit="1" ySplit="7" topLeftCell="D650" activePane="bottomRight" state="frozen"/>
      <selection activeCell="C1" sqref="C1"/>
      <selection pane="topRight" activeCell="D1" sqref="D1"/>
      <selection pane="bottomLeft" activeCell="C8" sqref="C8"/>
      <selection pane="bottomRight" activeCell="E655" sqref="E655"/>
    </sheetView>
  </sheetViews>
  <sheetFormatPr defaultRowHeight="12.95" customHeight="1" x14ac:dyDescent="0.15"/>
  <cols>
    <col min="1" max="1" width="10" style="537" customWidth="1"/>
    <col min="2" max="2" width="10.375" style="538" customWidth="1"/>
    <col min="3" max="3" width="15" style="538" customWidth="1"/>
    <col min="4" max="4" width="14.125" style="539" customWidth="1"/>
    <col min="5" max="5" width="14.25" style="102" customWidth="1"/>
    <col min="6" max="6" width="14.125" style="540" customWidth="1"/>
    <col min="7" max="7" width="9.75" style="541" customWidth="1"/>
    <col min="8" max="8" width="16.5" style="541" customWidth="1"/>
    <col min="9" max="11" width="16.75" style="541" customWidth="1"/>
    <col min="12" max="12" width="14.625" style="542" customWidth="1"/>
    <col min="13" max="13" width="9.625" style="543" customWidth="1"/>
    <col min="14" max="14" width="11.125" style="543" customWidth="1"/>
    <col min="15" max="15" width="10.125" style="543" customWidth="1"/>
    <col min="16" max="16" width="4.75" style="543" customWidth="1"/>
    <col min="17" max="17" width="6" style="543" customWidth="1"/>
    <col min="18" max="18" width="3.75" style="543" customWidth="1"/>
    <col min="19" max="19" width="5.75" style="543" customWidth="1"/>
    <col min="20" max="20" width="6.625" style="543" customWidth="1"/>
    <col min="21" max="21" width="21.375" style="929" customWidth="1"/>
    <col min="22" max="22" width="16.25" style="544" customWidth="1"/>
    <col min="23" max="23" width="17.875" style="544" customWidth="1"/>
    <col min="24" max="24" width="20.875" style="544" customWidth="1"/>
    <col min="25" max="26" width="17.875" style="545" customWidth="1"/>
    <col min="27" max="27" width="15.25" style="545" customWidth="1"/>
    <col min="28" max="28" width="14.75" style="545" customWidth="1"/>
    <col min="29" max="29" width="23" style="545" customWidth="1"/>
    <col min="30" max="30" width="22.5" style="545" customWidth="1"/>
    <col min="31" max="31" width="19.75" style="545" customWidth="1"/>
    <col min="32" max="32" width="12.125" style="545" bestFit="1" customWidth="1"/>
    <col min="33" max="33" width="13.25" style="545" bestFit="1" customWidth="1"/>
    <col min="34" max="16384" width="9" style="545"/>
  </cols>
  <sheetData>
    <row r="1" spans="1:31" ht="17.25" customHeight="1" x14ac:dyDescent="0.15">
      <c r="X1" s="1192">
        <f>SUM(AA1,AA7)</f>
        <v>195570000</v>
      </c>
      <c r="Y1" s="1193">
        <f>SUM(Y2:Y6)</f>
        <v>132750000</v>
      </c>
      <c r="Z1" s="1193">
        <f>SUM(Z2:Z6)</f>
        <v>21700000</v>
      </c>
      <c r="AA1" s="1194">
        <f>SUM(AA2:AA6)</f>
        <v>154450000</v>
      </c>
      <c r="AB1" s="919"/>
      <c r="AC1" s="919"/>
    </row>
    <row r="2" spans="1:31" ht="19.5" customHeight="1" x14ac:dyDescent="0.15">
      <c r="A2" s="1377" t="s">
        <v>60</v>
      </c>
      <c r="B2" s="1377"/>
      <c r="C2" s="1377"/>
      <c r="D2" s="1377"/>
      <c r="E2" s="1377"/>
      <c r="F2" s="1377"/>
      <c r="G2" s="1377"/>
      <c r="H2" s="1377"/>
      <c r="I2" s="1377"/>
      <c r="J2" s="1377"/>
      <c r="K2" s="1377"/>
      <c r="L2" s="1377"/>
      <c r="M2" s="1377"/>
      <c r="N2" s="1377"/>
      <c r="O2" s="1377"/>
      <c r="P2" s="1377"/>
      <c r="Q2" s="1377"/>
      <c r="R2" s="1377"/>
      <c r="S2" s="1377"/>
      <c r="T2" s="1377"/>
      <c r="U2" s="1378"/>
      <c r="X2" s="1183" t="s">
        <v>934</v>
      </c>
      <c r="Y2" s="1109">
        <f>'다. 세입내역서'!E9</f>
        <v>84000000</v>
      </c>
      <c r="Z2" s="1109">
        <v>4500000</v>
      </c>
      <c r="AA2" s="1239">
        <f>SUM(Y2:Z2)</f>
        <v>88500000</v>
      </c>
      <c r="AB2" s="919"/>
    </row>
    <row r="3" spans="1:31" ht="19.5" customHeight="1" x14ac:dyDescent="0.15">
      <c r="A3" s="1181"/>
      <c r="B3" s="1181"/>
      <c r="C3" s="1181"/>
      <c r="D3" s="1181"/>
      <c r="E3" s="1181"/>
      <c r="F3" s="1181"/>
      <c r="G3" s="1181"/>
      <c r="H3" s="543">
        <f>(H685+H702+H709+H717+H741+H766+H775+H777)-123700000</f>
        <v>0</v>
      </c>
      <c r="I3" s="1195">
        <f>AA7-I7</f>
        <v>0</v>
      </c>
      <c r="J3" s="1195">
        <f>AA1-J7</f>
        <v>0</v>
      </c>
      <c r="K3" s="1195">
        <f>AA11-K7</f>
        <v>0</v>
      </c>
      <c r="L3" s="1181"/>
      <c r="M3" s="1181"/>
      <c r="N3" s="1181"/>
      <c r="O3" s="1181"/>
      <c r="P3" s="1181"/>
      <c r="Q3" s="1181"/>
      <c r="R3" s="1181"/>
      <c r="S3" s="1181"/>
      <c r="T3" s="1181"/>
      <c r="U3" s="1182"/>
      <c r="X3" s="1183"/>
      <c r="Y3" s="1109"/>
      <c r="Z3" s="1109"/>
      <c r="AA3" s="1239"/>
      <c r="AB3" s="919"/>
    </row>
    <row r="4" spans="1:31" ht="15.75" customHeight="1" x14ac:dyDescent="0.15">
      <c r="A4" s="546"/>
      <c r="B4" s="547"/>
      <c r="C4" s="547"/>
      <c r="D4" s="548"/>
      <c r="E4" s="546"/>
      <c r="F4" s="549"/>
      <c r="G4" s="550"/>
      <c r="H4" s="550"/>
      <c r="I4" s="550"/>
      <c r="J4" s="550"/>
      <c r="K4" s="550"/>
      <c r="L4" s="551"/>
      <c r="M4" s="552"/>
      <c r="N4" s="553"/>
      <c r="O4" s="553"/>
      <c r="P4" s="553"/>
      <c r="Q4" s="553"/>
      <c r="R4" s="553"/>
      <c r="S4" s="553"/>
      <c r="T4" s="553"/>
      <c r="U4" s="930" t="s">
        <v>10</v>
      </c>
      <c r="W4" s="544">
        <f>AA4+AA6-J665-J678-J685-J720-J822</f>
        <v>0</v>
      </c>
      <c r="X4" s="1183" t="s">
        <v>1111</v>
      </c>
      <c r="Y4" s="1109">
        <f>2750000+500000+7000000</f>
        <v>10250000</v>
      </c>
      <c r="Z4" s="1109">
        <v>2000000</v>
      </c>
      <c r="AA4" s="1239">
        <f>SUM(Y4:Z4)</f>
        <v>12250000</v>
      </c>
    </row>
    <row r="5" spans="1:31" ht="18.75" customHeight="1" x14ac:dyDescent="0.15">
      <c r="A5" s="1379" t="s">
        <v>0</v>
      </c>
      <c r="B5" s="1380"/>
      <c r="C5" s="1380"/>
      <c r="D5" s="1381" t="str">
        <f>'나. 세입세출(총괄)'!K5:K6</f>
        <v>전년도예산
(A)</v>
      </c>
      <c r="E5" s="1257" t="str">
        <f>'나. 세입세출(총괄)'!L5:L6</f>
        <v>2023년예산
 (B)</v>
      </c>
      <c r="F5" s="1383" t="s">
        <v>57</v>
      </c>
      <c r="G5" s="1385" t="s">
        <v>56</v>
      </c>
      <c r="H5" s="1392" t="s">
        <v>85</v>
      </c>
      <c r="I5" s="1393"/>
      <c r="J5" s="1393"/>
      <c r="K5" s="1394"/>
      <c r="L5" s="1387" t="s">
        <v>7</v>
      </c>
      <c r="M5" s="1388"/>
      <c r="N5" s="1388"/>
      <c r="O5" s="1388"/>
      <c r="P5" s="1388"/>
      <c r="Q5" s="1388"/>
      <c r="R5" s="1388"/>
      <c r="S5" s="1388"/>
      <c r="T5" s="1388"/>
      <c r="U5" s="1389"/>
      <c r="W5" s="544">
        <f>AA5-J759+1600000</f>
        <v>0</v>
      </c>
      <c r="X5" s="1184" t="s">
        <v>935</v>
      </c>
      <c r="Y5" s="1109">
        <v>38400000</v>
      </c>
      <c r="Z5" s="1109">
        <v>15000000</v>
      </c>
      <c r="AA5" s="1239">
        <f t="shared" ref="AA5:AA6" si="0">SUM(Y5:Z5)</f>
        <v>53400000</v>
      </c>
      <c r="AB5" s="544"/>
      <c r="AD5" s="679" t="s">
        <v>1138</v>
      </c>
    </row>
    <row r="6" spans="1:31" ht="18.75" customHeight="1" thickBot="1" x14ac:dyDescent="0.2">
      <c r="A6" s="554" t="s">
        <v>1</v>
      </c>
      <c r="B6" s="555" t="s">
        <v>2</v>
      </c>
      <c r="C6" s="555" t="s">
        <v>3</v>
      </c>
      <c r="D6" s="1382"/>
      <c r="E6" s="1258"/>
      <c r="F6" s="1384"/>
      <c r="G6" s="1386"/>
      <c r="H6" s="948" t="s">
        <v>87</v>
      </c>
      <c r="I6" s="557" t="s">
        <v>88</v>
      </c>
      <c r="J6" s="556" t="s">
        <v>89</v>
      </c>
      <c r="K6" s="949" t="s">
        <v>98</v>
      </c>
      <c r="L6" s="1390"/>
      <c r="M6" s="1390"/>
      <c r="N6" s="1390"/>
      <c r="O6" s="1390"/>
      <c r="P6" s="1390"/>
      <c r="Q6" s="1390"/>
      <c r="R6" s="1390"/>
      <c r="S6" s="1390"/>
      <c r="T6" s="1390"/>
      <c r="U6" s="1391"/>
      <c r="X6" s="1185" t="s">
        <v>864</v>
      </c>
      <c r="Y6" s="1110">
        <v>100000</v>
      </c>
      <c r="Z6" s="1110">
        <f>170000+30000</f>
        <v>200000</v>
      </c>
      <c r="AA6" s="1240">
        <f t="shared" si="0"/>
        <v>300000</v>
      </c>
      <c r="AB6" s="544"/>
      <c r="AC6" s="497">
        <f>AC9/AE9</f>
        <v>0.71855617603454103</v>
      </c>
      <c r="AD6" s="497">
        <f>AD9/AE9</f>
        <v>0.28143628111426117</v>
      </c>
      <c r="AE6" s="498">
        <f>SUM(AC6:AD6)</f>
        <v>0.99999245714880214</v>
      </c>
    </row>
    <row r="7" spans="1:31" ht="18.75" customHeight="1" thickTop="1" thickBot="1" x14ac:dyDescent="0.2">
      <c r="A7" s="1395" t="s">
        <v>4</v>
      </c>
      <c r="B7" s="1396"/>
      <c r="C7" s="1396"/>
      <c r="D7" s="558">
        <v>4484599000</v>
      </c>
      <c r="E7" s="558">
        <f>SUM(H7:K7)</f>
        <v>4265740000</v>
      </c>
      <c r="F7" s="558">
        <f>E7-D7</f>
        <v>-218859000</v>
      </c>
      <c r="G7" s="939">
        <f>F7/D7*100</f>
        <v>-4.8802356687855477</v>
      </c>
      <c r="H7" s="950">
        <f>SUM(H8,H725,H757,H820,H827,H831)</f>
        <v>3685700000</v>
      </c>
      <c r="I7" s="558">
        <f>SUM(I8,I725,I757,I820,I827,I831)</f>
        <v>41120000</v>
      </c>
      <c r="J7" s="558">
        <f>SUM(J8,J725,J757,J820,J827,J831)</f>
        <v>154450000</v>
      </c>
      <c r="K7" s="951">
        <f>SUM(K8,K725,K757,K820,K827,K831)</f>
        <v>384470000</v>
      </c>
      <c r="L7" s="981" t="s">
        <v>753</v>
      </c>
      <c r="M7" s="934"/>
      <c r="N7" s="934"/>
      <c r="O7" s="934"/>
      <c r="P7" s="934"/>
      <c r="Q7" s="934"/>
      <c r="R7" s="934"/>
      <c r="S7" s="934"/>
      <c r="T7" s="934"/>
      <c r="U7" s="1016">
        <f>U8+U725+U757+U820+U827+U831</f>
        <v>4303737100</v>
      </c>
      <c r="V7" s="544">
        <f>E7-'다. 세입내역서'!E6</f>
        <v>0</v>
      </c>
      <c r="X7" s="1186" t="s">
        <v>1110</v>
      </c>
      <c r="Y7" s="1187">
        <v>40000000</v>
      </c>
      <c r="Z7" s="1188">
        <f>'다. 세입내역서'!E43</f>
        <v>1120000</v>
      </c>
      <c r="AA7" s="1189">
        <f>SUM(Y7:Z7)</f>
        <v>41120000</v>
      </c>
      <c r="AB7" s="919">
        <f>AA7-I7</f>
        <v>0</v>
      </c>
      <c r="AC7" s="500" t="s">
        <v>1136</v>
      </c>
      <c r="AD7" s="500" t="s">
        <v>1137</v>
      </c>
      <c r="AE7" s="499" t="s">
        <v>255</v>
      </c>
    </row>
    <row r="8" spans="1:31" ht="26.25" customHeight="1" thickTop="1" x14ac:dyDescent="0.15">
      <c r="A8" s="559" t="s">
        <v>107</v>
      </c>
      <c r="B8" s="560" t="s">
        <v>91</v>
      </c>
      <c r="C8" s="560"/>
      <c r="D8" s="561">
        <v>3562381358</v>
      </c>
      <c r="E8" s="561">
        <f>SUM(E9,E677,E682)</f>
        <v>3650290750</v>
      </c>
      <c r="F8" s="562">
        <f>E8-D8</f>
        <v>87909392</v>
      </c>
      <c r="G8" s="940">
        <f>F8/D8*100</f>
        <v>2.4677142384709279</v>
      </c>
      <c r="H8" s="952">
        <f>H9+H677+H682</f>
        <v>3356212090</v>
      </c>
      <c r="I8" s="563">
        <f>I9+I677+I682</f>
        <v>33120000</v>
      </c>
      <c r="J8" s="563">
        <f>J9+J677+J682</f>
        <v>48900000</v>
      </c>
      <c r="K8" s="953">
        <f>K9+K677+K682</f>
        <v>212058660</v>
      </c>
      <c r="L8" s="982" t="s">
        <v>752</v>
      </c>
      <c r="M8" s="935"/>
      <c r="N8" s="935"/>
      <c r="O8" s="935"/>
      <c r="P8" s="935"/>
      <c r="Q8" s="935"/>
      <c r="R8" s="935"/>
      <c r="S8" s="935"/>
      <c r="T8" s="935"/>
      <c r="U8" s="1015">
        <f>U9+U677+U682</f>
        <v>3650290750</v>
      </c>
      <c r="W8" s="1241">
        <f>SUM(AA8:AA10)</f>
        <v>384470000</v>
      </c>
      <c r="X8" s="1229" t="s">
        <v>862</v>
      </c>
      <c r="Y8" s="1230">
        <f>'다. 세입내역서'!E36</f>
        <v>324000000</v>
      </c>
      <c r="Z8" s="1190">
        <v>20000000</v>
      </c>
      <c r="AA8" s="1237">
        <f>SUM(Y8:Z8)</f>
        <v>344000000</v>
      </c>
      <c r="AB8" s="544"/>
      <c r="AE8" s="1054"/>
    </row>
    <row r="9" spans="1:31" ht="21.75" customHeight="1" thickBot="1" x14ac:dyDescent="0.2">
      <c r="A9" s="564"/>
      <c r="B9" s="565" t="s">
        <v>108</v>
      </c>
      <c r="C9" s="565" t="s">
        <v>93</v>
      </c>
      <c r="D9" s="566">
        <v>3312868198</v>
      </c>
      <c r="E9" s="566">
        <f>SUM(E10:E665)</f>
        <v>3383850590</v>
      </c>
      <c r="F9" s="567">
        <f>E9-D9</f>
        <v>70982392</v>
      </c>
      <c r="G9" s="941">
        <f>F9/D9*100</f>
        <v>2.142626502402134</v>
      </c>
      <c r="H9" s="601">
        <f>SUM(H10:H665)</f>
        <v>3275268590</v>
      </c>
      <c r="I9" s="568">
        <f>SUM(I10:I665)</f>
        <v>28058450</v>
      </c>
      <c r="J9" s="568">
        <f>SUM(J10:J665)</f>
        <v>5346035</v>
      </c>
      <c r="K9" s="954">
        <f>SUM(K10:K665)</f>
        <v>75177515</v>
      </c>
      <c r="L9" s="983" t="s">
        <v>751</v>
      </c>
      <c r="M9" s="936"/>
      <c r="N9" s="936"/>
      <c r="O9" s="936"/>
      <c r="P9" s="936"/>
      <c r="Q9" s="936"/>
      <c r="R9" s="936"/>
      <c r="S9" s="936"/>
      <c r="T9" s="936"/>
      <c r="U9" s="1014">
        <f>U10+U145+U147+U645+U649+U665</f>
        <v>3383850590</v>
      </c>
      <c r="W9" s="1242">
        <f>W8-K7</f>
        <v>0</v>
      </c>
      <c r="X9" s="1234" t="s">
        <v>863</v>
      </c>
      <c r="Y9" s="1231">
        <f>'다. 세입내역서'!E35</f>
        <v>29400000</v>
      </c>
      <c r="Z9" s="1231">
        <v>10000000</v>
      </c>
      <c r="AA9" s="1238">
        <f>SUM(Y9:Z9)</f>
        <v>39400000</v>
      </c>
      <c r="AC9" s="1215">
        <f>SUM(AC10:AC837)</f>
        <v>276263293</v>
      </c>
      <c r="AD9" s="1215">
        <f>SUM(AD10:AD837)</f>
        <v>108203807</v>
      </c>
      <c r="AE9" s="1215">
        <f>K7</f>
        <v>384470000</v>
      </c>
    </row>
    <row r="10" spans="1:31" ht="21.75" customHeight="1" thickBot="1" x14ac:dyDescent="0.2">
      <c r="A10" s="569"/>
      <c r="B10" s="570"/>
      <c r="C10" s="961" t="s">
        <v>109</v>
      </c>
      <c r="D10" s="962">
        <v>1987419000</v>
      </c>
      <c r="E10" s="963">
        <f>SUM(H10:K10)</f>
        <v>2033209000</v>
      </c>
      <c r="F10" s="963">
        <f>E10-D10</f>
        <v>45790000</v>
      </c>
      <c r="G10" s="964">
        <f>F10/D10*100</f>
        <v>2.303993269662814</v>
      </c>
      <c r="H10" s="965">
        <f>'사. 임직원보수 일람표'!I103+'사. 임직원보수 일람표'!I116+'사. 임직원보수 일람표'!I149+'사. 임직원보수 일람표'!I161</f>
        <v>2001409000</v>
      </c>
      <c r="I10" s="966"/>
      <c r="J10" s="966">
        <v>0</v>
      </c>
      <c r="K10" s="967">
        <f>'사. 임직원보수 일람표'!I209</f>
        <v>31800000</v>
      </c>
      <c r="L10" s="968" t="s">
        <v>745</v>
      </c>
      <c r="M10" s="969"/>
      <c r="N10" s="970"/>
      <c r="O10" s="969"/>
      <c r="P10" s="971"/>
      <c r="Q10" s="969"/>
      <c r="R10" s="972"/>
      <c r="S10" s="969"/>
      <c r="T10" s="969"/>
      <c r="U10" s="1008">
        <f>SUM(U11:U144)</f>
        <v>2033209000</v>
      </c>
      <c r="V10" s="544">
        <f>U10-'사. 임직원보수 일람표'!I214</f>
        <v>0</v>
      </c>
      <c r="X10" s="1235" t="s">
        <v>864</v>
      </c>
      <c r="Y10" s="1236">
        <v>100000</v>
      </c>
      <c r="Z10" s="1236">
        <v>970000</v>
      </c>
      <c r="AA10" s="1189">
        <f>SUM(Y10:Z10)</f>
        <v>1070000</v>
      </c>
      <c r="AB10" s="919"/>
      <c r="AC10" s="1214">
        <f>K10</f>
        <v>31800000</v>
      </c>
      <c r="AE10" s="1054"/>
    </row>
    <row r="11" spans="1:31" ht="21.75" hidden="1" customHeight="1" thickBot="1" x14ac:dyDescent="0.2">
      <c r="A11" s="569"/>
      <c r="B11" s="570"/>
      <c r="C11" s="570"/>
      <c r="D11" s="571"/>
      <c r="E11" s="572"/>
      <c r="F11" s="573"/>
      <c r="G11" s="942"/>
      <c r="H11" s="602"/>
      <c r="I11" s="574"/>
      <c r="J11" s="574"/>
      <c r="K11" s="955"/>
      <c r="L11" s="910" t="s">
        <v>655</v>
      </c>
      <c r="M11" s="910" t="s">
        <v>655</v>
      </c>
      <c r="N11" s="910" t="s">
        <v>656</v>
      </c>
      <c r="O11" s="911">
        <f>'사. 임직원보수 일람표'!H5</f>
        <v>4149000</v>
      </c>
      <c r="P11" s="913" t="s">
        <v>724</v>
      </c>
      <c r="Q11" s="914">
        <v>1</v>
      </c>
      <c r="R11" s="913" t="s">
        <v>724</v>
      </c>
      <c r="S11" s="915">
        <f>'사. 임직원보수 일람표'!F5</f>
        <v>5</v>
      </c>
      <c r="T11" s="916" t="s">
        <v>345</v>
      </c>
      <c r="U11" s="917">
        <f>O11*Q11*S11</f>
        <v>20745000</v>
      </c>
      <c r="X11" s="1191"/>
      <c r="Y11" s="1232">
        <f>SUM(Y8:Y10)</f>
        <v>353500000</v>
      </c>
      <c r="Z11" s="1232">
        <f>SUM(Z8:Z10)</f>
        <v>30970000</v>
      </c>
      <c r="AA11" s="1233">
        <f>SUM(AA8:AA10)</f>
        <v>384470000</v>
      </c>
      <c r="AE11" s="1054"/>
    </row>
    <row r="12" spans="1:31" ht="21.75" hidden="1" customHeight="1" x14ac:dyDescent="0.15">
      <c r="A12" s="569"/>
      <c r="B12" s="570"/>
      <c r="C12" s="570"/>
      <c r="D12" s="571"/>
      <c r="E12" s="572"/>
      <c r="F12" s="573"/>
      <c r="G12" s="942"/>
      <c r="H12" s="602"/>
      <c r="I12" s="574"/>
      <c r="J12" s="574"/>
      <c r="K12" s="955"/>
      <c r="L12" s="910" t="s">
        <v>655</v>
      </c>
      <c r="M12" s="910" t="s">
        <v>655</v>
      </c>
      <c r="N12" s="910" t="s">
        <v>656</v>
      </c>
      <c r="O12" s="911">
        <f>'사. 임직원보수 일람표'!H6</f>
        <v>4223000</v>
      </c>
      <c r="P12" s="913" t="s">
        <v>724</v>
      </c>
      <c r="Q12" s="914">
        <v>1</v>
      </c>
      <c r="R12" s="913" t="s">
        <v>724</v>
      </c>
      <c r="S12" s="915">
        <f>'사. 임직원보수 일람표'!F6</f>
        <v>7</v>
      </c>
      <c r="T12" s="916" t="s">
        <v>345</v>
      </c>
      <c r="U12" s="917">
        <f>O12*Q12*S12</f>
        <v>29561000</v>
      </c>
      <c r="Y12" s="544"/>
      <c r="Z12" s="544"/>
      <c r="AA12" s="544">
        <f>K7-AA11</f>
        <v>0</v>
      </c>
      <c r="AE12" s="1054"/>
    </row>
    <row r="13" spans="1:31" ht="21.75" hidden="1" customHeight="1" x14ac:dyDescent="0.15">
      <c r="A13" s="569"/>
      <c r="B13" s="570"/>
      <c r="C13" s="570"/>
      <c r="D13" s="571"/>
      <c r="E13" s="572"/>
      <c r="F13" s="573"/>
      <c r="G13" s="942"/>
      <c r="H13" s="602"/>
      <c r="I13" s="574"/>
      <c r="J13" s="574"/>
      <c r="K13" s="955"/>
      <c r="L13" s="910" t="s">
        <v>657</v>
      </c>
      <c r="M13" s="910" t="s">
        <v>657</v>
      </c>
      <c r="N13" s="910" t="s">
        <v>658</v>
      </c>
      <c r="O13" s="911">
        <f>'사. 임직원보수 일람표'!H7</f>
        <v>4085000</v>
      </c>
      <c r="P13" s="913" t="s">
        <v>724</v>
      </c>
      <c r="Q13" s="914">
        <v>1</v>
      </c>
      <c r="R13" s="913" t="s">
        <v>724</v>
      </c>
      <c r="S13" s="915">
        <f>'사. 임직원보수 일람표'!F7</f>
        <v>4</v>
      </c>
      <c r="T13" s="916" t="s">
        <v>345</v>
      </c>
      <c r="U13" s="917">
        <f t="shared" ref="U13:U18" si="1">O13*Q13*S13</f>
        <v>16340000</v>
      </c>
      <c r="Y13" s="544"/>
      <c r="Z13" s="544"/>
      <c r="AA13" s="544"/>
      <c r="AE13" s="1054"/>
    </row>
    <row r="14" spans="1:31" ht="21.75" hidden="1" customHeight="1" x14ac:dyDescent="0.15">
      <c r="A14" s="569"/>
      <c r="B14" s="570"/>
      <c r="C14" s="570"/>
      <c r="D14" s="571"/>
      <c r="E14" s="572"/>
      <c r="F14" s="573"/>
      <c r="G14" s="942"/>
      <c r="H14" s="602"/>
      <c r="I14" s="574"/>
      <c r="J14" s="574"/>
      <c r="K14" s="955"/>
      <c r="L14" s="910" t="s">
        <v>657</v>
      </c>
      <c r="M14" s="910" t="s">
        <v>657</v>
      </c>
      <c r="N14" s="910" t="s">
        <v>658</v>
      </c>
      <c r="O14" s="911">
        <f>'사. 임직원보수 일람표'!H8</f>
        <v>4138000</v>
      </c>
      <c r="P14" s="913" t="s">
        <v>724</v>
      </c>
      <c r="Q14" s="914">
        <v>1</v>
      </c>
      <c r="R14" s="913" t="s">
        <v>724</v>
      </c>
      <c r="S14" s="915">
        <f>'사. 임직원보수 일람표'!F8</f>
        <v>8</v>
      </c>
      <c r="T14" s="916" t="s">
        <v>345</v>
      </c>
      <c r="U14" s="917">
        <f t="shared" si="1"/>
        <v>33104000</v>
      </c>
      <c r="Y14" s="544"/>
      <c r="Z14" s="544"/>
      <c r="AA14" s="544"/>
      <c r="AE14" s="1054"/>
    </row>
    <row r="15" spans="1:31" ht="21.75" hidden="1" customHeight="1" x14ac:dyDescent="0.15">
      <c r="A15" s="569"/>
      <c r="B15" s="570"/>
      <c r="C15" s="570"/>
      <c r="D15" s="571"/>
      <c r="E15" s="572"/>
      <c r="F15" s="573"/>
      <c r="G15" s="942"/>
      <c r="H15" s="602"/>
      <c r="I15" s="574"/>
      <c r="J15" s="574"/>
      <c r="K15" s="955"/>
      <c r="L15" s="910" t="s">
        <v>659</v>
      </c>
      <c r="M15" s="910" t="s">
        <v>660</v>
      </c>
      <c r="N15" s="910" t="s">
        <v>661</v>
      </c>
      <c r="O15" s="911">
        <f>'사. 임직원보수 일람표'!H9</f>
        <v>3608000</v>
      </c>
      <c r="P15" s="913" t="s">
        <v>724</v>
      </c>
      <c r="Q15" s="914">
        <v>1</v>
      </c>
      <c r="R15" s="913" t="s">
        <v>724</v>
      </c>
      <c r="S15" s="915">
        <f>'사. 임직원보수 일람표'!F9</f>
        <v>6</v>
      </c>
      <c r="T15" s="916" t="s">
        <v>345</v>
      </c>
      <c r="U15" s="917">
        <f t="shared" si="1"/>
        <v>21648000</v>
      </c>
      <c r="Y15" s="544"/>
      <c r="Z15" s="544"/>
      <c r="AA15" s="544"/>
      <c r="AE15" s="1054"/>
    </row>
    <row r="16" spans="1:31" ht="21.75" hidden="1" customHeight="1" x14ac:dyDescent="0.15">
      <c r="A16" s="569"/>
      <c r="B16" s="570"/>
      <c r="C16" s="570"/>
      <c r="D16" s="571"/>
      <c r="E16" s="572"/>
      <c r="F16" s="573"/>
      <c r="G16" s="942"/>
      <c r="H16" s="602"/>
      <c r="I16" s="574"/>
      <c r="J16" s="574"/>
      <c r="K16" s="955"/>
      <c r="L16" s="910" t="s">
        <v>659</v>
      </c>
      <c r="M16" s="910" t="s">
        <v>660</v>
      </c>
      <c r="N16" s="910" t="s">
        <v>661</v>
      </c>
      <c r="O16" s="911">
        <f>'사. 임직원보수 일람표'!H10</f>
        <v>3665000</v>
      </c>
      <c r="P16" s="913" t="s">
        <v>724</v>
      </c>
      <c r="Q16" s="914">
        <v>1</v>
      </c>
      <c r="R16" s="913" t="s">
        <v>724</v>
      </c>
      <c r="S16" s="915">
        <f>'사. 임직원보수 일람표'!F10</f>
        <v>6</v>
      </c>
      <c r="T16" s="916" t="s">
        <v>345</v>
      </c>
      <c r="U16" s="917">
        <f t="shared" si="1"/>
        <v>21990000</v>
      </c>
      <c r="Y16" s="544"/>
      <c r="Z16" s="544"/>
      <c r="AA16" s="544"/>
      <c r="AE16" s="1054"/>
    </row>
    <row r="17" spans="1:31" ht="21.75" hidden="1" customHeight="1" x14ac:dyDescent="0.15">
      <c r="A17" s="569"/>
      <c r="B17" s="570"/>
      <c r="C17" s="570"/>
      <c r="D17" s="571"/>
      <c r="E17" s="572"/>
      <c r="F17" s="573"/>
      <c r="G17" s="942"/>
      <c r="H17" s="602"/>
      <c r="I17" s="574"/>
      <c r="J17" s="574"/>
      <c r="K17" s="955"/>
      <c r="L17" s="910" t="s">
        <v>662</v>
      </c>
      <c r="M17" s="910" t="s">
        <v>663</v>
      </c>
      <c r="N17" s="910" t="s">
        <v>664</v>
      </c>
      <c r="O17" s="911">
        <f>'사. 임직원보수 일람표'!H11</f>
        <v>3940000</v>
      </c>
      <c r="P17" s="913" t="s">
        <v>724</v>
      </c>
      <c r="Q17" s="914">
        <v>1</v>
      </c>
      <c r="R17" s="913" t="s">
        <v>724</v>
      </c>
      <c r="S17" s="915">
        <f>'사. 임직원보수 일람표'!F11</f>
        <v>3</v>
      </c>
      <c r="T17" s="916" t="s">
        <v>345</v>
      </c>
      <c r="U17" s="917">
        <f t="shared" si="1"/>
        <v>11820000</v>
      </c>
      <c r="Y17" s="544"/>
      <c r="Z17" s="544"/>
      <c r="AA17" s="544"/>
      <c r="AE17" s="1054"/>
    </row>
    <row r="18" spans="1:31" ht="21.75" hidden="1" customHeight="1" x14ac:dyDescent="0.15">
      <c r="A18" s="569"/>
      <c r="B18" s="570"/>
      <c r="C18" s="570"/>
      <c r="D18" s="571"/>
      <c r="E18" s="572"/>
      <c r="F18" s="573"/>
      <c r="G18" s="942"/>
      <c r="H18" s="602"/>
      <c r="I18" s="574"/>
      <c r="J18" s="574"/>
      <c r="K18" s="955"/>
      <c r="L18" s="910" t="s">
        <v>662</v>
      </c>
      <c r="M18" s="910" t="s">
        <v>663</v>
      </c>
      <c r="N18" s="910" t="s">
        <v>664</v>
      </c>
      <c r="O18" s="911">
        <f>'사. 임직원보수 일람표'!H12</f>
        <v>3975000</v>
      </c>
      <c r="P18" s="913" t="s">
        <v>724</v>
      </c>
      <c r="Q18" s="914">
        <v>1</v>
      </c>
      <c r="R18" s="913" t="s">
        <v>724</v>
      </c>
      <c r="S18" s="915">
        <f>'사. 임직원보수 일람표'!F12</f>
        <v>9</v>
      </c>
      <c r="T18" s="916" t="s">
        <v>345</v>
      </c>
      <c r="U18" s="917">
        <f t="shared" si="1"/>
        <v>35775000</v>
      </c>
      <c r="Y18" s="544"/>
      <c r="Z18" s="544"/>
      <c r="AA18" s="544"/>
      <c r="AE18" s="1054"/>
    </row>
    <row r="19" spans="1:31" ht="21.75" hidden="1" customHeight="1" x14ac:dyDescent="0.15">
      <c r="A19" s="569"/>
      <c r="B19" s="570"/>
      <c r="C19" s="570"/>
      <c r="D19" s="571"/>
      <c r="E19" s="572"/>
      <c r="F19" s="573"/>
      <c r="G19" s="942"/>
      <c r="H19" s="602"/>
      <c r="I19" s="574"/>
      <c r="J19" s="574"/>
      <c r="K19" s="955"/>
      <c r="L19" s="910" t="s">
        <v>665</v>
      </c>
      <c r="M19" s="910" t="s">
        <v>663</v>
      </c>
      <c r="N19" s="910" t="s">
        <v>666</v>
      </c>
      <c r="O19" s="911">
        <f>'사. 임직원보수 일람표'!H13</f>
        <v>3051000</v>
      </c>
      <c r="P19" s="913" t="s">
        <v>724</v>
      </c>
      <c r="Q19" s="914">
        <v>1</v>
      </c>
      <c r="R19" s="913" t="s">
        <v>724</v>
      </c>
      <c r="S19" s="915">
        <f>'사. 임직원보수 일람표'!F13</f>
        <v>11</v>
      </c>
      <c r="T19" s="916" t="s">
        <v>345</v>
      </c>
      <c r="U19" s="917">
        <f>O19*Q19*S19</f>
        <v>33561000</v>
      </c>
      <c r="Y19" s="544"/>
      <c r="Z19" s="544"/>
      <c r="AA19" s="544"/>
      <c r="AE19" s="1054"/>
    </row>
    <row r="20" spans="1:31" ht="21.75" hidden="1" customHeight="1" x14ac:dyDescent="0.15">
      <c r="A20" s="569"/>
      <c r="B20" s="570"/>
      <c r="C20" s="570"/>
      <c r="D20" s="571"/>
      <c r="E20" s="572"/>
      <c r="F20" s="573"/>
      <c r="G20" s="942"/>
      <c r="H20" s="602"/>
      <c r="I20" s="574"/>
      <c r="J20" s="574"/>
      <c r="K20" s="955"/>
      <c r="L20" s="910" t="s">
        <v>665</v>
      </c>
      <c r="M20" s="910" t="s">
        <v>663</v>
      </c>
      <c r="N20" s="910" t="s">
        <v>666</v>
      </c>
      <c r="O20" s="911">
        <f>'사. 임직원보수 일람표'!H14</f>
        <v>3115000</v>
      </c>
      <c r="P20" s="913" t="s">
        <v>724</v>
      </c>
      <c r="Q20" s="914">
        <v>1</v>
      </c>
      <c r="R20" s="913" t="s">
        <v>724</v>
      </c>
      <c r="S20" s="915">
        <f>'사. 임직원보수 일람표'!F14</f>
        <v>1</v>
      </c>
      <c r="T20" s="916" t="s">
        <v>345</v>
      </c>
      <c r="U20" s="917">
        <f t="shared" ref="U20:U83" si="2">O20*Q20*S20</f>
        <v>3115000</v>
      </c>
      <c r="Y20" s="544"/>
      <c r="Z20" s="544"/>
      <c r="AA20" s="544"/>
      <c r="AE20" s="1054"/>
    </row>
    <row r="21" spans="1:31" ht="21.75" hidden="1" customHeight="1" x14ac:dyDescent="0.15">
      <c r="A21" s="569"/>
      <c r="B21" s="570"/>
      <c r="C21" s="570"/>
      <c r="D21" s="571"/>
      <c r="E21" s="572"/>
      <c r="F21" s="573"/>
      <c r="G21" s="942"/>
      <c r="H21" s="602"/>
      <c r="I21" s="574"/>
      <c r="J21" s="574"/>
      <c r="K21" s="955"/>
      <c r="L21" s="910" t="s">
        <v>667</v>
      </c>
      <c r="M21" s="910" t="s">
        <v>663</v>
      </c>
      <c r="N21" s="910" t="s">
        <v>1200</v>
      </c>
      <c r="O21" s="911">
        <f>'사. 임직원보수 일람표'!H15</f>
        <v>3204000</v>
      </c>
      <c r="P21" s="913" t="s">
        <v>724</v>
      </c>
      <c r="Q21" s="914">
        <v>1</v>
      </c>
      <c r="R21" s="913" t="s">
        <v>724</v>
      </c>
      <c r="S21" s="915">
        <f>'사. 임직원보수 일람표'!F15</f>
        <v>8</v>
      </c>
      <c r="T21" s="916" t="s">
        <v>345</v>
      </c>
      <c r="U21" s="917">
        <f t="shared" si="2"/>
        <v>25632000</v>
      </c>
      <c r="Y21" s="544"/>
      <c r="Z21" s="544"/>
      <c r="AA21" s="544"/>
      <c r="AE21" s="1054"/>
    </row>
    <row r="22" spans="1:31" ht="21.75" hidden="1" customHeight="1" x14ac:dyDescent="0.15">
      <c r="A22" s="569"/>
      <c r="B22" s="570"/>
      <c r="C22" s="570"/>
      <c r="D22" s="571"/>
      <c r="E22" s="572"/>
      <c r="F22" s="573"/>
      <c r="G22" s="942"/>
      <c r="H22" s="602"/>
      <c r="I22" s="574"/>
      <c r="J22" s="574"/>
      <c r="K22" s="955"/>
      <c r="L22" s="910" t="s">
        <v>667</v>
      </c>
      <c r="M22" s="910" t="s">
        <v>663</v>
      </c>
      <c r="N22" s="910" t="s">
        <v>1201</v>
      </c>
      <c r="O22" s="911">
        <f>'사. 임직원보수 일람표'!H16</f>
        <v>3280000</v>
      </c>
      <c r="P22" s="913" t="s">
        <v>724</v>
      </c>
      <c r="Q22" s="914">
        <v>1</v>
      </c>
      <c r="R22" s="913" t="s">
        <v>724</v>
      </c>
      <c r="S22" s="915">
        <f>'사. 임직원보수 일람표'!F16</f>
        <v>4</v>
      </c>
      <c r="T22" s="916" t="s">
        <v>345</v>
      </c>
      <c r="U22" s="917">
        <f t="shared" si="2"/>
        <v>13120000</v>
      </c>
      <c r="Y22" s="544"/>
      <c r="Z22" s="544"/>
      <c r="AA22" s="544"/>
      <c r="AE22" s="1054"/>
    </row>
    <row r="23" spans="1:31" ht="21.75" hidden="1" customHeight="1" x14ac:dyDescent="0.15">
      <c r="A23" s="569"/>
      <c r="B23" s="570"/>
      <c r="C23" s="570"/>
      <c r="D23" s="571"/>
      <c r="E23" s="572"/>
      <c r="F23" s="573"/>
      <c r="G23" s="942"/>
      <c r="H23" s="602"/>
      <c r="I23" s="574"/>
      <c r="J23" s="574"/>
      <c r="K23" s="955"/>
      <c r="L23" s="910" t="s">
        <v>668</v>
      </c>
      <c r="M23" s="910"/>
      <c r="N23" s="910" t="s">
        <v>669</v>
      </c>
      <c r="O23" s="911">
        <f>'사. 임직원보수 일람표'!H17</f>
        <v>3280000</v>
      </c>
      <c r="P23" s="913" t="s">
        <v>724</v>
      </c>
      <c r="Q23" s="914">
        <v>1</v>
      </c>
      <c r="R23" s="913" t="s">
        <v>724</v>
      </c>
      <c r="S23" s="915">
        <f>'사. 임직원보수 일람표'!F17</f>
        <v>3</v>
      </c>
      <c r="T23" s="916" t="s">
        <v>345</v>
      </c>
      <c r="U23" s="917">
        <f t="shared" si="2"/>
        <v>9840000</v>
      </c>
      <c r="Y23" s="544"/>
      <c r="Z23" s="544"/>
      <c r="AA23" s="544"/>
      <c r="AE23" s="1054"/>
    </row>
    <row r="24" spans="1:31" ht="21.75" hidden="1" customHeight="1" x14ac:dyDescent="0.15">
      <c r="A24" s="569"/>
      <c r="B24" s="570"/>
      <c r="C24" s="570"/>
      <c r="D24" s="571"/>
      <c r="E24" s="572"/>
      <c r="F24" s="573"/>
      <c r="G24" s="942"/>
      <c r="H24" s="602"/>
      <c r="I24" s="574"/>
      <c r="J24" s="574"/>
      <c r="K24" s="955"/>
      <c r="L24" s="910" t="s">
        <v>668</v>
      </c>
      <c r="M24" s="910"/>
      <c r="N24" s="910" t="s">
        <v>669</v>
      </c>
      <c r="O24" s="911">
        <f>'사. 임직원보수 일람표'!H18</f>
        <v>3353000</v>
      </c>
      <c r="P24" s="913" t="s">
        <v>724</v>
      </c>
      <c r="Q24" s="914">
        <v>1</v>
      </c>
      <c r="R24" s="913" t="s">
        <v>724</v>
      </c>
      <c r="S24" s="915">
        <f>'사. 임직원보수 일람표'!F18</f>
        <v>9</v>
      </c>
      <c r="T24" s="916" t="s">
        <v>345</v>
      </c>
      <c r="U24" s="917">
        <f t="shared" si="2"/>
        <v>30177000</v>
      </c>
      <c r="Y24" s="544"/>
      <c r="Z24" s="544"/>
      <c r="AA24" s="544"/>
      <c r="AE24" s="1054"/>
    </row>
    <row r="25" spans="1:31" ht="21.75" hidden="1" customHeight="1" x14ac:dyDescent="0.15">
      <c r="A25" s="569"/>
      <c r="B25" s="570"/>
      <c r="C25" s="570"/>
      <c r="D25" s="571"/>
      <c r="E25" s="572"/>
      <c r="F25" s="573"/>
      <c r="G25" s="942"/>
      <c r="H25" s="602"/>
      <c r="I25" s="574"/>
      <c r="J25" s="574"/>
      <c r="K25" s="955"/>
      <c r="L25" s="910" t="s">
        <v>670</v>
      </c>
      <c r="M25" s="910"/>
      <c r="N25" s="910" t="s">
        <v>653</v>
      </c>
      <c r="O25" s="911">
        <f>'사. 임직원보수 일람표'!H19</f>
        <v>2712000</v>
      </c>
      <c r="P25" s="913" t="s">
        <v>724</v>
      </c>
      <c r="Q25" s="914">
        <v>1</v>
      </c>
      <c r="R25" s="913" t="s">
        <v>724</v>
      </c>
      <c r="S25" s="915">
        <f>'사. 임직원보수 일람표'!F19</f>
        <v>1</v>
      </c>
      <c r="T25" s="916" t="s">
        <v>345</v>
      </c>
      <c r="U25" s="917">
        <f t="shared" si="2"/>
        <v>2712000</v>
      </c>
      <c r="Y25" s="544"/>
      <c r="Z25" s="544"/>
      <c r="AA25" s="544"/>
      <c r="AE25" s="1054"/>
    </row>
    <row r="26" spans="1:31" ht="21.75" hidden="1" customHeight="1" x14ac:dyDescent="0.15">
      <c r="A26" s="569"/>
      <c r="B26" s="570"/>
      <c r="C26" s="570"/>
      <c r="D26" s="571"/>
      <c r="E26" s="572"/>
      <c r="F26" s="573"/>
      <c r="G26" s="942"/>
      <c r="H26" s="602"/>
      <c r="I26" s="574"/>
      <c r="J26" s="574"/>
      <c r="K26" s="955"/>
      <c r="L26" s="910" t="s">
        <v>670</v>
      </c>
      <c r="M26" s="910"/>
      <c r="N26" s="910" t="s">
        <v>672</v>
      </c>
      <c r="O26" s="911">
        <f>'사. 임직원보수 일람표'!H20</f>
        <v>2828000</v>
      </c>
      <c r="P26" s="913" t="s">
        <v>724</v>
      </c>
      <c r="Q26" s="914">
        <v>1</v>
      </c>
      <c r="R26" s="913" t="s">
        <v>724</v>
      </c>
      <c r="S26" s="915">
        <f>'사. 임직원보수 일람표'!F20</f>
        <v>11</v>
      </c>
      <c r="T26" s="916" t="s">
        <v>345</v>
      </c>
      <c r="U26" s="917">
        <f t="shared" si="2"/>
        <v>31108000</v>
      </c>
      <c r="Y26" s="544"/>
      <c r="Z26" s="544"/>
      <c r="AA26" s="544"/>
      <c r="AE26" s="1054"/>
    </row>
    <row r="27" spans="1:31" ht="21.75" hidden="1" customHeight="1" x14ac:dyDescent="0.15">
      <c r="A27" s="569"/>
      <c r="B27" s="570"/>
      <c r="C27" s="570"/>
      <c r="D27" s="571"/>
      <c r="E27" s="572"/>
      <c r="F27" s="573"/>
      <c r="G27" s="942"/>
      <c r="H27" s="602"/>
      <c r="I27" s="574"/>
      <c r="J27" s="574"/>
      <c r="K27" s="955"/>
      <c r="L27" s="910" t="s">
        <v>673</v>
      </c>
      <c r="M27" s="910"/>
      <c r="N27" s="910" t="s">
        <v>674</v>
      </c>
      <c r="O27" s="911">
        <f>'사. 임직원보수 일람표'!H21</f>
        <v>3353000</v>
      </c>
      <c r="P27" s="913" t="s">
        <v>724</v>
      </c>
      <c r="Q27" s="914">
        <v>1</v>
      </c>
      <c r="R27" s="913" t="s">
        <v>724</v>
      </c>
      <c r="S27" s="915">
        <f>'사. 임직원보수 일람표'!F21</f>
        <v>7</v>
      </c>
      <c r="T27" s="916" t="s">
        <v>345</v>
      </c>
      <c r="U27" s="917">
        <f t="shared" si="2"/>
        <v>23471000</v>
      </c>
      <c r="Y27" s="544"/>
      <c r="Z27" s="544"/>
      <c r="AA27" s="544"/>
      <c r="AE27" s="1054"/>
    </row>
    <row r="28" spans="1:31" ht="21.75" hidden="1" customHeight="1" x14ac:dyDescent="0.15">
      <c r="A28" s="569"/>
      <c r="B28" s="570"/>
      <c r="C28" s="570"/>
      <c r="D28" s="571"/>
      <c r="E28" s="572"/>
      <c r="F28" s="573"/>
      <c r="G28" s="942"/>
      <c r="H28" s="602"/>
      <c r="I28" s="574"/>
      <c r="J28" s="574"/>
      <c r="K28" s="955"/>
      <c r="L28" s="910" t="s">
        <v>673</v>
      </c>
      <c r="M28" s="910"/>
      <c r="N28" s="910" t="s">
        <v>674</v>
      </c>
      <c r="O28" s="911">
        <f>'사. 임직원보수 일람표'!H22</f>
        <v>3422000</v>
      </c>
      <c r="P28" s="913" t="s">
        <v>724</v>
      </c>
      <c r="Q28" s="914">
        <v>1</v>
      </c>
      <c r="R28" s="913" t="s">
        <v>724</v>
      </c>
      <c r="S28" s="915">
        <f>'사. 임직원보수 일람표'!F22</f>
        <v>5</v>
      </c>
      <c r="T28" s="916" t="s">
        <v>345</v>
      </c>
      <c r="U28" s="917">
        <f t="shared" si="2"/>
        <v>17110000</v>
      </c>
      <c r="Y28" s="544"/>
      <c r="Z28" s="544"/>
      <c r="AA28" s="544"/>
      <c r="AE28" s="1054"/>
    </row>
    <row r="29" spans="1:31" ht="21.75" hidden="1" customHeight="1" x14ac:dyDescent="0.15">
      <c r="A29" s="569"/>
      <c r="B29" s="570"/>
      <c r="C29" s="570"/>
      <c r="D29" s="571"/>
      <c r="E29" s="572"/>
      <c r="F29" s="573"/>
      <c r="G29" s="942"/>
      <c r="H29" s="602"/>
      <c r="I29" s="574"/>
      <c r="J29" s="574"/>
      <c r="K29" s="955"/>
      <c r="L29" s="910" t="s">
        <v>675</v>
      </c>
      <c r="M29" s="910" t="s">
        <v>660</v>
      </c>
      <c r="N29" s="910" t="s">
        <v>676</v>
      </c>
      <c r="O29" s="911">
        <f>'사. 임직원보수 일람표'!H23</f>
        <v>3552000</v>
      </c>
      <c r="P29" s="913" t="s">
        <v>724</v>
      </c>
      <c r="Q29" s="914">
        <v>1</v>
      </c>
      <c r="R29" s="913" t="s">
        <v>724</v>
      </c>
      <c r="S29" s="915">
        <f>'사. 임직원보수 일람표'!F23</f>
        <v>9</v>
      </c>
      <c r="T29" s="916" t="s">
        <v>345</v>
      </c>
      <c r="U29" s="917">
        <f t="shared" si="2"/>
        <v>31968000</v>
      </c>
      <c r="Y29" s="544"/>
      <c r="Z29" s="544"/>
      <c r="AA29" s="544"/>
      <c r="AE29" s="1054"/>
    </row>
    <row r="30" spans="1:31" ht="21.75" hidden="1" customHeight="1" x14ac:dyDescent="0.15">
      <c r="A30" s="569"/>
      <c r="B30" s="570"/>
      <c r="C30" s="570"/>
      <c r="D30" s="571"/>
      <c r="E30" s="572"/>
      <c r="F30" s="573"/>
      <c r="G30" s="942"/>
      <c r="H30" s="602"/>
      <c r="I30" s="574"/>
      <c r="J30" s="574"/>
      <c r="K30" s="955"/>
      <c r="L30" s="910" t="s">
        <v>675</v>
      </c>
      <c r="M30" s="910" t="s">
        <v>660</v>
      </c>
      <c r="N30" s="910" t="s">
        <v>676</v>
      </c>
      <c r="O30" s="911">
        <f>'사. 임직원보수 일람표'!H24</f>
        <v>3608000</v>
      </c>
      <c r="P30" s="913" t="s">
        <v>724</v>
      </c>
      <c r="Q30" s="914">
        <v>1</v>
      </c>
      <c r="R30" s="913" t="s">
        <v>724</v>
      </c>
      <c r="S30" s="915">
        <f>'사. 임직원보수 일람표'!F24</f>
        <v>3</v>
      </c>
      <c r="T30" s="916" t="s">
        <v>345</v>
      </c>
      <c r="U30" s="917">
        <f t="shared" si="2"/>
        <v>10824000</v>
      </c>
      <c r="Y30" s="544"/>
      <c r="Z30" s="544"/>
      <c r="AA30" s="544"/>
      <c r="AE30" s="1054"/>
    </row>
    <row r="31" spans="1:31" ht="21.75" hidden="1" customHeight="1" x14ac:dyDescent="0.15">
      <c r="A31" s="569"/>
      <c r="B31" s="570"/>
      <c r="C31" s="570"/>
      <c r="D31" s="571"/>
      <c r="E31" s="572"/>
      <c r="F31" s="573"/>
      <c r="G31" s="942"/>
      <c r="H31" s="602"/>
      <c r="I31" s="574"/>
      <c r="J31" s="574"/>
      <c r="K31" s="955"/>
      <c r="L31" s="910" t="s">
        <v>665</v>
      </c>
      <c r="M31" s="910" t="s">
        <v>663</v>
      </c>
      <c r="N31" s="910" t="s">
        <v>677</v>
      </c>
      <c r="O31" s="911">
        <f>'사. 임직원보수 일람표'!H25</f>
        <v>2984000</v>
      </c>
      <c r="P31" s="913" t="s">
        <v>724</v>
      </c>
      <c r="Q31" s="914">
        <v>1</v>
      </c>
      <c r="R31" s="913" t="s">
        <v>724</v>
      </c>
      <c r="S31" s="915">
        <f>'사. 임직원보수 일람표'!F25</f>
        <v>7</v>
      </c>
      <c r="T31" s="916" t="s">
        <v>345</v>
      </c>
      <c r="U31" s="917">
        <f t="shared" si="2"/>
        <v>20888000</v>
      </c>
      <c r="Y31" s="544"/>
      <c r="Z31" s="544"/>
      <c r="AA31" s="544"/>
      <c r="AE31" s="1054"/>
    </row>
    <row r="32" spans="1:31" ht="21.75" hidden="1" customHeight="1" x14ac:dyDescent="0.15">
      <c r="A32" s="569"/>
      <c r="B32" s="570"/>
      <c r="C32" s="570"/>
      <c r="D32" s="571"/>
      <c r="E32" s="572"/>
      <c r="F32" s="573"/>
      <c r="G32" s="942"/>
      <c r="H32" s="602"/>
      <c r="I32" s="574"/>
      <c r="J32" s="574"/>
      <c r="K32" s="955"/>
      <c r="L32" s="910" t="s">
        <v>665</v>
      </c>
      <c r="M32" s="910" t="s">
        <v>663</v>
      </c>
      <c r="N32" s="910" t="s">
        <v>677</v>
      </c>
      <c r="O32" s="911">
        <f>'사. 임직원보수 일람표'!H26</f>
        <v>3051000</v>
      </c>
      <c r="P32" s="913" t="s">
        <v>724</v>
      </c>
      <c r="Q32" s="914">
        <v>1</v>
      </c>
      <c r="R32" s="913" t="s">
        <v>724</v>
      </c>
      <c r="S32" s="915">
        <f>'사. 임직원보수 일람표'!F26</f>
        <v>5</v>
      </c>
      <c r="T32" s="916" t="s">
        <v>345</v>
      </c>
      <c r="U32" s="917">
        <f t="shared" si="2"/>
        <v>15255000</v>
      </c>
      <c r="Y32" s="544"/>
      <c r="Z32" s="544"/>
      <c r="AA32" s="544"/>
      <c r="AE32" s="1054"/>
    </row>
    <row r="33" spans="1:31" ht="21.75" hidden="1" customHeight="1" x14ac:dyDescent="0.15">
      <c r="A33" s="569"/>
      <c r="B33" s="570"/>
      <c r="C33" s="570"/>
      <c r="D33" s="571"/>
      <c r="E33" s="572"/>
      <c r="F33" s="573"/>
      <c r="G33" s="942"/>
      <c r="H33" s="602"/>
      <c r="I33" s="574"/>
      <c r="J33" s="574"/>
      <c r="K33" s="955"/>
      <c r="L33" s="910" t="s">
        <v>678</v>
      </c>
      <c r="M33" s="910"/>
      <c r="N33" s="910" t="s">
        <v>679</v>
      </c>
      <c r="O33" s="911">
        <f>'사. 임직원보수 일람표'!H27</f>
        <v>2851000</v>
      </c>
      <c r="P33" s="913" t="s">
        <v>724</v>
      </c>
      <c r="Q33" s="914">
        <v>1</v>
      </c>
      <c r="R33" s="913" t="s">
        <v>724</v>
      </c>
      <c r="S33" s="915">
        <f>'사. 임직원보수 일람표'!F27</f>
        <v>3</v>
      </c>
      <c r="T33" s="916" t="s">
        <v>345</v>
      </c>
      <c r="U33" s="917">
        <f t="shared" si="2"/>
        <v>8553000</v>
      </c>
      <c r="Y33" s="544"/>
      <c r="Z33" s="544"/>
      <c r="AA33" s="544"/>
      <c r="AE33" s="1054"/>
    </row>
    <row r="34" spans="1:31" ht="21.75" hidden="1" customHeight="1" x14ac:dyDescent="0.15">
      <c r="A34" s="569"/>
      <c r="B34" s="570"/>
      <c r="C34" s="570"/>
      <c r="D34" s="571"/>
      <c r="E34" s="572"/>
      <c r="F34" s="573"/>
      <c r="G34" s="942"/>
      <c r="H34" s="602"/>
      <c r="I34" s="574"/>
      <c r="J34" s="574"/>
      <c r="K34" s="955"/>
      <c r="L34" s="910" t="s">
        <v>678</v>
      </c>
      <c r="M34" s="910"/>
      <c r="N34" s="910" t="s">
        <v>679</v>
      </c>
      <c r="O34" s="911">
        <f>'사. 임직원보수 일람표'!H28</f>
        <v>2912000</v>
      </c>
      <c r="P34" s="913" t="s">
        <v>724</v>
      </c>
      <c r="Q34" s="914">
        <v>1</v>
      </c>
      <c r="R34" s="913" t="s">
        <v>724</v>
      </c>
      <c r="S34" s="915">
        <f>'사. 임직원보수 일람표'!F28</f>
        <v>9</v>
      </c>
      <c r="T34" s="916" t="s">
        <v>345</v>
      </c>
      <c r="U34" s="917">
        <f t="shared" si="2"/>
        <v>26208000</v>
      </c>
      <c r="Y34" s="544"/>
      <c r="Z34" s="544"/>
      <c r="AA34" s="544"/>
      <c r="AE34" s="1054"/>
    </row>
    <row r="35" spans="1:31" ht="21.75" hidden="1" customHeight="1" x14ac:dyDescent="0.15">
      <c r="A35" s="569"/>
      <c r="B35" s="570"/>
      <c r="C35" s="570"/>
      <c r="D35" s="571"/>
      <c r="E35" s="572"/>
      <c r="F35" s="573"/>
      <c r="G35" s="942"/>
      <c r="H35" s="602"/>
      <c r="I35" s="574"/>
      <c r="J35" s="574"/>
      <c r="K35" s="955"/>
      <c r="L35" s="910" t="s">
        <v>680</v>
      </c>
      <c r="M35" s="910" t="s">
        <v>663</v>
      </c>
      <c r="N35" s="910" t="s">
        <v>681</v>
      </c>
      <c r="O35" s="911">
        <f>'사. 임직원보수 일람표'!H29</f>
        <v>2789000</v>
      </c>
      <c r="P35" s="913" t="s">
        <v>724</v>
      </c>
      <c r="Q35" s="914">
        <v>1</v>
      </c>
      <c r="R35" s="913" t="s">
        <v>724</v>
      </c>
      <c r="S35" s="915">
        <f>'사. 임직원보수 일람표'!F29</f>
        <v>1</v>
      </c>
      <c r="T35" s="916" t="s">
        <v>345</v>
      </c>
      <c r="U35" s="917">
        <f t="shared" si="2"/>
        <v>2789000</v>
      </c>
      <c r="Y35" s="544"/>
      <c r="Z35" s="544"/>
      <c r="AA35" s="544"/>
      <c r="AE35" s="1054"/>
    </row>
    <row r="36" spans="1:31" ht="21.75" hidden="1" customHeight="1" x14ac:dyDescent="0.15">
      <c r="A36" s="569"/>
      <c r="B36" s="570"/>
      <c r="C36" s="570"/>
      <c r="D36" s="571"/>
      <c r="E36" s="572"/>
      <c r="F36" s="573"/>
      <c r="G36" s="942"/>
      <c r="H36" s="602"/>
      <c r="I36" s="574"/>
      <c r="J36" s="574"/>
      <c r="K36" s="955"/>
      <c r="L36" s="910" t="s">
        <v>680</v>
      </c>
      <c r="M36" s="910" t="s">
        <v>663</v>
      </c>
      <c r="N36" s="910" t="s">
        <v>681</v>
      </c>
      <c r="O36" s="911">
        <f>'사. 임직원보수 일람표'!H30</f>
        <v>2851000</v>
      </c>
      <c r="P36" s="913" t="s">
        <v>724</v>
      </c>
      <c r="Q36" s="914">
        <v>1</v>
      </c>
      <c r="R36" s="913" t="s">
        <v>724</v>
      </c>
      <c r="S36" s="915">
        <f>'사. 임직원보수 일람표'!F30</f>
        <v>11</v>
      </c>
      <c r="T36" s="916" t="s">
        <v>345</v>
      </c>
      <c r="U36" s="917">
        <f t="shared" si="2"/>
        <v>31361000</v>
      </c>
      <c r="Y36" s="544"/>
      <c r="Z36" s="544"/>
      <c r="AA36" s="544"/>
      <c r="AE36" s="1054"/>
    </row>
    <row r="37" spans="1:31" ht="21.75" hidden="1" customHeight="1" x14ac:dyDescent="0.15">
      <c r="A37" s="569"/>
      <c r="B37" s="570"/>
      <c r="C37" s="570"/>
      <c r="D37" s="571"/>
      <c r="E37" s="572"/>
      <c r="F37" s="573"/>
      <c r="G37" s="942"/>
      <c r="H37" s="602"/>
      <c r="I37" s="574"/>
      <c r="J37" s="574"/>
      <c r="K37" s="955"/>
      <c r="L37" s="910" t="s">
        <v>680</v>
      </c>
      <c r="M37" s="910"/>
      <c r="N37" s="910" t="s">
        <v>682</v>
      </c>
      <c r="O37" s="911">
        <f>'사. 임직원보수 일람표'!H31</f>
        <v>2971000</v>
      </c>
      <c r="P37" s="913" t="s">
        <v>724</v>
      </c>
      <c r="Q37" s="914">
        <v>1</v>
      </c>
      <c r="R37" s="913" t="s">
        <v>724</v>
      </c>
      <c r="S37" s="915">
        <f>'사. 임직원보수 일람표'!F31</f>
        <v>5</v>
      </c>
      <c r="T37" s="916" t="s">
        <v>345</v>
      </c>
      <c r="U37" s="917">
        <f t="shared" si="2"/>
        <v>14855000</v>
      </c>
      <c r="Y37" s="544"/>
      <c r="Z37" s="544"/>
      <c r="AA37" s="544"/>
      <c r="AE37" s="1054"/>
    </row>
    <row r="38" spans="1:31" ht="21.75" hidden="1" customHeight="1" x14ac:dyDescent="0.15">
      <c r="A38" s="569"/>
      <c r="B38" s="570"/>
      <c r="C38" s="570"/>
      <c r="D38" s="571"/>
      <c r="E38" s="572"/>
      <c r="F38" s="573"/>
      <c r="G38" s="942"/>
      <c r="H38" s="602"/>
      <c r="I38" s="574"/>
      <c r="J38" s="574"/>
      <c r="K38" s="955"/>
      <c r="L38" s="910" t="s">
        <v>680</v>
      </c>
      <c r="M38" s="910"/>
      <c r="N38" s="910" t="s">
        <v>682</v>
      </c>
      <c r="O38" s="911">
        <f>'사. 임직원보수 일람표'!H32</f>
        <v>3024000</v>
      </c>
      <c r="P38" s="913" t="s">
        <v>724</v>
      </c>
      <c r="Q38" s="914">
        <v>1</v>
      </c>
      <c r="R38" s="913" t="s">
        <v>724</v>
      </c>
      <c r="S38" s="915">
        <f>'사. 임직원보수 일람표'!F32</f>
        <v>7</v>
      </c>
      <c r="T38" s="916" t="s">
        <v>345</v>
      </c>
      <c r="U38" s="917">
        <f t="shared" si="2"/>
        <v>21168000</v>
      </c>
      <c r="Y38" s="544"/>
      <c r="Z38" s="544"/>
      <c r="AA38" s="544"/>
      <c r="AE38" s="1054"/>
    </row>
    <row r="39" spans="1:31" ht="21.75" hidden="1" customHeight="1" x14ac:dyDescent="0.15">
      <c r="A39" s="569"/>
      <c r="B39" s="570"/>
      <c r="C39" s="570"/>
      <c r="D39" s="571"/>
      <c r="E39" s="572"/>
      <c r="F39" s="573"/>
      <c r="G39" s="942"/>
      <c r="H39" s="602"/>
      <c r="I39" s="574"/>
      <c r="J39" s="574"/>
      <c r="K39" s="955"/>
      <c r="L39" s="910" t="s">
        <v>680</v>
      </c>
      <c r="M39" s="910"/>
      <c r="N39" s="910" t="s">
        <v>683</v>
      </c>
      <c r="O39" s="911">
        <f>'사. 임직원보수 일람표'!H33</f>
        <v>2667000</v>
      </c>
      <c r="P39" s="913" t="s">
        <v>724</v>
      </c>
      <c r="Q39" s="914">
        <v>1</v>
      </c>
      <c r="R39" s="913" t="s">
        <v>724</v>
      </c>
      <c r="S39" s="915">
        <f>'사. 임직원보수 일람표'!F33</f>
        <v>4</v>
      </c>
      <c r="T39" s="916" t="s">
        <v>345</v>
      </c>
      <c r="U39" s="917">
        <f t="shared" si="2"/>
        <v>10668000</v>
      </c>
      <c r="Y39" s="544"/>
      <c r="Z39" s="544"/>
      <c r="AA39" s="544"/>
      <c r="AE39" s="1054"/>
    </row>
    <row r="40" spans="1:31" ht="21.75" hidden="1" customHeight="1" x14ac:dyDescent="0.15">
      <c r="A40" s="569"/>
      <c r="B40" s="570"/>
      <c r="C40" s="570"/>
      <c r="D40" s="571"/>
      <c r="E40" s="572"/>
      <c r="F40" s="573"/>
      <c r="G40" s="942"/>
      <c r="H40" s="602"/>
      <c r="I40" s="574"/>
      <c r="J40" s="574"/>
      <c r="K40" s="955"/>
      <c r="L40" s="910" t="s">
        <v>680</v>
      </c>
      <c r="M40" s="910"/>
      <c r="N40" s="910" t="s">
        <v>683</v>
      </c>
      <c r="O40" s="911">
        <f>'사. 임직원보수 일람표'!H34</f>
        <v>2730000</v>
      </c>
      <c r="P40" s="913" t="s">
        <v>724</v>
      </c>
      <c r="Q40" s="914">
        <v>1</v>
      </c>
      <c r="R40" s="913" t="s">
        <v>724</v>
      </c>
      <c r="S40" s="915">
        <f>'사. 임직원보수 일람표'!F34</f>
        <v>8</v>
      </c>
      <c r="T40" s="916" t="s">
        <v>345</v>
      </c>
      <c r="U40" s="917">
        <f t="shared" si="2"/>
        <v>21840000</v>
      </c>
      <c r="Y40" s="544"/>
      <c r="Z40" s="544"/>
      <c r="AA40" s="544"/>
      <c r="AE40" s="1054"/>
    </row>
    <row r="41" spans="1:31" ht="21.75" hidden="1" customHeight="1" x14ac:dyDescent="0.15">
      <c r="A41" s="569"/>
      <c r="B41" s="570"/>
      <c r="C41" s="570"/>
      <c r="D41" s="571"/>
      <c r="E41" s="572"/>
      <c r="F41" s="573"/>
      <c r="G41" s="942"/>
      <c r="H41" s="602"/>
      <c r="I41" s="574"/>
      <c r="J41" s="574"/>
      <c r="K41" s="955"/>
      <c r="L41" s="910" t="s">
        <v>680</v>
      </c>
      <c r="M41" s="910"/>
      <c r="N41" s="910" t="s">
        <v>684</v>
      </c>
      <c r="O41" s="911">
        <f>'사. 임직원보수 일람표'!H35</f>
        <v>2851000</v>
      </c>
      <c r="P41" s="913" t="s">
        <v>724</v>
      </c>
      <c r="Q41" s="914">
        <v>1</v>
      </c>
      <c r="R41" s="913" t="s">
        <v>724</v>
      </c>
      <c r="S41" s="915">
        <f>'사. 임직원보수 일람표'!F35</f>
        <v>11</v>
      </c>
      <c r="T41" s="916" t="s">
        <v>345</v>
      </c>
      <c r="U41" s="917">
        <f t="shared" si="2"/>
        <v>31361000</v>
      </c>
      <c r="Y41" s="544"/>
      <c r="Z41" s="544"/>
      <c r="AA41" s="544"/>
      <c r="AE41" s="1054"/>
    </row>
    <row r="42" spans="1:31" ht="21.75" hidden="1" customHeight="1" x14ac:dyDescent="0.15">
      <c r="A42" s="569"/>
      <c r="B42" s="570"/>
      <c r="C42" s="570"/>
      <c r="D42" s="571"/>
      <c r="E42" s="572"/>
      <c r="F42" s="573"/>
      <c r="G42" s="942"/>
      <c r="H42" s="602"/>
      <c r="I42" s="574"/>
      <c r="J42" s="574"/>
      <c r="K42" s="955"/>
      <c r="L42" s="910" t="s">
        <v>680</v>
      </c>
      <c r="M42" s="910"/>
      <c r="N42" s="910" t="s">
        <v>684</v>
      </c>
      <c r="O42" s="911">
        <f>'사. 임직원보수 일람표'!H36</f>
        <v>2912000</v>
      </c>
      <c r="P42" s="913" t="s">
        <v>724</v>
      </c>
      <c r="Q42" s="914">
        <v>1</v>
      </c>
      <c r="R42" s="913" t="s">
        <v>724</v>
      </c>
      <c r="S42" s="915">
        <f>'사. 임직원보수 일람표'!F36</f>
        <v>1</v>
      </c>
      <c r="T42" s="916" t="s">
        <v>345</v>
      </c>
      <c r="U42" s="917">
        <f t="shared" si="2"/>
        <v>2912000</v>
      </c>
      <c r="Y42" s="544"/>
      <c r="Z42" s="544"/>
      <c r="AA42" s="544"/>
      <c r="AE42" s="1054"/>
    </row>
    <row r="43" spans="1:31" ht="21.75" hidden="1" customHeight="1" x14ac:dyDescent="0.15">
      <c r="A43" s="569"/>
      <c r="B43" s="570"/>
      <c r="C43" s="570"/>
      <c r="D43" s="571"/>
      <c r="E43" s="572"/>
      <c r="F43" s="573"/>
      <c r="G43" s="942"/>
      <c r="H43" s="602"/>
      <c r="I43" s="574"/>
      <c r="J43" s="574"/>
      <c r="K43" s="955"/>
      <c r="L43" s="910" t="s">
        <v>680</v>
      </c>
      <c r="M43" s="910" t="s">
        <v>663</v>
      </c>
      <c r="N43" s="910" t="s">
        <v>685</v>
      </c>
      <c r="O43" s="911">
        <f>'사. 임직원보수 일람표'!H37</f>
        <v>2912000</v>
      </c>
      <c r="P43" s="913" t="s">
        <v>724</v>
      </c>
      <c r="Q43" s="914">
        <v>1</v>
      </c>
      <c r="R43" s="913" t="s">
        <v>724</v>
      </c>
      <c r="S43" s="915">
        <f>'사. 임직원보수 일람표'!F37</f>
        <v>10</v>
      </c>
      <c r="T43" s="916" t="s">
        <v>345</v>
      </c>
      <c r="U43" s="917">
        <f t="shared" si="2"/>
        <v>29120000</v>
      </c>
      <c r="Y43" s="544"/>
      <c r="Z43" s="544"/>
      <c r="AA43" s="544"/>
      <c r="AE43" s="1054"/>
    </row>
    <row r="44" spans="1:31" ht="21.75" hidden="1" customHeight="1" x14ac:dyDescent="0.15">
      <c r="A44" s="569"/>
      <c r="B44" s="570"/>
      <c r="C44" s="570"/>
      <c r="D44" s="571"/>
      <c r="E44" s="572"/>
      <c r="F44" s="573"/>
      <c r="G44" s="942"/>
      <c r="H44" s="602"/>
      <c r="I44" s="574"/>
      <c r="J44" s="574"/>
      <c r="K44" s="955"/>
      <c r="L44" s="910" t="s">
        <v>680</v>
      </c>
      <c r="M44" s="910" t="s">
        <v>663</v>
      </c>
      <c r="N44" s="910" t="s">
        <v>685</v>
      </c>
      <c r="O44" s="911">
        <f>'사. 임직원보수 일람표'!H38</f>
        <v>2971000</v>
      </c>
      <c r="P44" s="913" t="s">
        <v>724</v>
      </c>
      <c r="Q44" s="914">
        <v>1</v>
      </c>
      <c r="R44" s="913" t="s">
        <v>724</v>
      </c>
      <c r="S44" s="915">
        <f>'사. 임직원보수 일람표'!F38</f>
        <v>2</v>
      </c>
      <c r="T44" s="916" t="s">
        <v>345</v>
      </c>
      <c r="U44" s="917">
        <f t="shared" si="2"/>
        <v>5942000</v>
      </c>
      <c r="Y44" s="544"/>
      <c r="Z44" s="544"/>
      <c r="AA44" s="544"/>
      <c r="AE44" s="1054"/>
    </row>
    <row r="45" spans="1:31" ht="21.75" hidden="1" customHeight="1" x14ac:dyDescent="0.15">
      <c r="A45" s="569"/>
      <c r="B45" s="570"/>
      <c r="C45" s="570"/>
      <c r="D45" s="571"/>
      <c r="E45" s="572"/>
      <c r="F45" s="573"/>
      <c r="G45" s="942"/>
      <c r="H45" s="602"/>
      <c r="I45" s="574"/>
      <c r="J45" s="574"/>
      <c r="K45" s="955"/>
      <c r="L45" s="910" t="s">
        <v>680</v>
      </c>
      <c r="M45" s="910" t="s">
        <v>663</v>
      </c>
      <c r="N45" s="910" t="s">
        <v>686</v>
      </c>
      <c r="O45" s="911">
        <f>'사. 임직원보수 일람표'!H39</f>
        <v>2730000</v>
      </c>
      <c r="P45" s="913" t="s">
        <v>724</v>
      </c>
      <c r="Q45" s="914">
        <v>1</v>
      </c>
      <c r="R45" s="913" t="s">
        <v>724</v>
      </c>
      <c r="S45" s="915">
        <f>'사. 임직원보수 일람표'!F39</f>
        <v>4</v>
      </c>
      <c r="T45" s="916" t="s">
        <v>345</v>
      </c>
      <c r="U45" s="917">
        <f t="shared" si="2"/>
        <v>10920000</v>
      </c>
      <c r="Y45" s="544"/>
      <c r="Z45" s="544"/>
      <c r="AA45" s="544"/>
      <c r="AE45" s="1054"/>
    </row>
    <row r="46" spans="1:31" ht="21.75" hidden="1" customHeight="1" x14ac:dyDescent="0.15">
      <c r="A46" s="569"/>
      <c r="B46" s="570"/>
      <c r="C46" s="570"/>
      <c r="D46" s="571"/>
      <c r="E46" s="572"/>
      <c r="F46" s="573"/>
      <c r="G46" s="942"/>
      <c r="H46" s="602"/>
      <c r="I46" s="574"/>
      <c r="J46" s="574"/>
      <c r="K46" s="955"/>
      <c r="L46" s="910" t="s">
        <v>680</v>
      </c>
      <c r="M46" s="910" t="s">
        <v>663</v>
      </c>
      <c r="N46" s="910" t="s">
        <v>686</v>
      </c>
      <c r="O46" s="911">
        <f>'사. 임직원보수 일람표'!H40</f>
        <v>2789000</v>
      </c>
      <c r="P46" s="913" t="s">
        <v>724</v>
      </c>
      <c r="Q46" s="914">
        <v>1</v>
      </c>
      <c r="R46" s="913" t="s">
        <v>724</v>
      </c>
      <c r="S46" s="915">
        <f>'사. 임직원보수 일람표'!F40</f>
        <v>8</v>
      </c>
      <c r="T46" s="916" t="s">
        <v>345</v>
      </c>
      <c r="U46" s="917">
        <f t="shared" si="2"/>
        <v>22312000</v>
      </c>
      <c r="Y46" s="544"/>
      <c r="Z46" s="544"/>
      <c r="AA46" s="544"/>
      <c r="AE46" s="1054"/>
    </row>
    <row r="47" spans="1:31" ht="21.75" hidden="1" customHeight="1" x14ac:dyDescent="0.15">
      <c r="A47" s="569"/>
      <c r="B47" s="570"/>
      <c r="C47" s="570"/>
      <c r="D47" s="571"/>
      <c r="E47" s="572"/>
      <c r="F47" s="573"/>
      <c r="G47" s="942"/>
      <c r="H47" s="602"/>
      <c r="I47" s="574"/>
      <c r="J47" s="574"/>
      <c r="K47" s="955"/>
      <c r="L47" s="910" t="s">
        <v>680</v>
      </c>
      <c r="M47" s="910" t="s">
        <v>663</v>
      </c>
      <c r="N47" s="910" t="s">
        <v>687</v>
      </c>
      <c r="O47" s="911">
        <f>'사. 임직원보수 일람표'!H41</f>
        <v>2616000</v>
      </c>
      <c r="P47" s="913" t="s">
        <v>724</v>
      </c>
      <c r="Q47" s="914">
        <v>1</v>
      </c>
      <c r="R47" s="913" t="s">
        <v>724</v>
      </c>
      <c r="S47" s="915">
        <f>'사. 임직원보수 일람표'!F41</f>
        <v>3</v>
      </c>
      <c r="T47" s="916" t="s">
        <v>345</v>
      </c>
      <c r="U47" s="917">
        <f t="shared" si="2"/>
        <v>7848000</v>
      </c>
      <c r="Y47" s="544"/>
      <c r="Z47" s="544"/>
      <c r="AA47" s="544"/>
      <c r="AE47" s="1054"/>
    </row>
    <row r="48" spans="1:31" ht="21.75" hidden="1" customHeight="1" x14ac:dyDescent="0.15">
      <c r="A48" s="569"/>
      <c r="B48" s="570"/>
      <c r="C48" s="570"/>
      <c r="D48" s="571"/>
      <c r="E48" s="572"/>
      <c r="F48" s="573"/>
      <c r="G48" s="942"/>
      <c r="H48" s="602"/>
      <c r="I48" s="574"/>
      <c r="J48" s="574"/>
      <c r="K48" s="955"/>
      <c r="L48" s="910" t="s">
        <v>680</v>
      </c>
      <c r="M48" s="910" t="s">
        <v>663</v>
      </c>
      <c r="N48" s="910" t="s">
        <v>687</v>
      </c>
      <c r="O48" s="911">
        <f>'사. 임직원보수 일람표'!H42</f>
        <v>2667000</v>
      </c>
      <c r="P48" s="913" t="s">
        <v>724</v>
      </c>
      <c r="Q48" s="914">
        <v>1</v>
      </c>
      <c r="R48" s="913" t="s">
        <v>724</v>
      </c>
      <c r="S48" s="915">
        <f>'사. 임직원보수 일람표'!F42</f>
        <v>9</v>
      </c>
      <c r="T48" s="916" t="s">
        <v>345</v>
      </c>
      <c r="U48" s="917">
        <f t="shared" si="2"/>
        <v>24003000</v>
      </c>
      <c r="Y48" s="544"/>
      <c r="Z48" s="544"/>
      <c r="AA48" s="544"/>
      <c r="AE48" s="1054"/>
    </row>
    <row r="49" spans="1:31" ht="21.75" hidden="1" customHeight="1" x14ac:dyDescent="0.15">
      <c r="A49" s="569"/>
      <c r="B49" s="570"/>
      <c r="C49" s="570"/>
      <c r="D49" s="571"/>
      <c r="E49" s="572"/>
      <c r="F49" s="573"/>
      <c r="G49" s="942"/>
      <c r="H49" s="602"/>
      <c r="I49" s="574"/>
      <c r="J49" s="574"/>
      <c r="K49" s="955"/>
      <c r="L49" s="910" t="s">
        <v>680</v>
      </c>
      <c r="M49" s="910"/>
      <c r="N49" s="910" t="s">
        <v>689</v>
      </c>
      <c r="O49" s="911">
        <f>'사. 임직원보수 일람표'!H43</f>
        <v>2667000</v>
      </c>
      <c r="P49" s="913" t="s">
        <v>724</v>
      </c>
      <c r="Q49" s="914">
        <v>1</v>
      </c>
      <c r="R49" s="913" t="s">
        <v>724</v>
      </c>
      <c r="S49" s="915">
        <f>'사. 임직원보수 일람표'!F43</f>
        <v>2</v>
      </c>
      <c r="T49" s="916" t="s">
        <v>345</v>
      </c>
      <c r="U49" s="917">
        <f t="shared" si="2"/>
        <v>5334000</v>
      </c>
      <c r="Y49" s="544"/>
      <c r="Z49" s="544"/>
      <c r="AA49" s="544"/>
      <c r="AE49" s="1054"/>
    </row>
    <row r="50" spans="1:31" ht="21.75" hidden="1" customHeight="1" x14ac:dyDescent="0.15">
      <c r="A50" s="569"/>
      <c r="B50" s="570"/>
      <c r="C50" s="570"/>
      <c r="D50" s="571"/>
      <c r="E50" s="572"/>
      <c r="F50" s="573"/>
      <c r="G50" s="942"/>
      <c r="H50" s="602"/>
      <c r="I50" s="574"/>
      <c r="J50" s="574"/>
      <c r="K50" s="955"/>
      <c r="L50" s="910" t="s">
        <v>680</v>
      </c>
      <c r="M50" s="910"/>
      <c r="N50" s="910" t="s">
        <v>689</v>
      </c>
      <c r="O50" s="911">
        <f>'사. 임직원보수 일람표'!H44</f>
        <v>2730000</v>
      </c>
      <c r="P50" s="913" t="s">
        <v>724</v>
      </c>
      <c r="Q50" s="914">
        <v>1</v>
      </c>
      <c r="R50" s="913" t="s">
        <v>724</v>
      </c>
      <c r="S50" s="915">
        <f>'사. 임직원보수 일람표'!F44</f>
        <v>10</v>
      </c>
      <c r="T50" s="916" t="s">
        <v>345</v>
      </c>
      <c r="U50" s="917">
        <f t="shared" si="2"/>
        <v>27300000</v>
      </c>
      <c r="Y50" s="544"/>
      <c r="Z50" s="544"/>
      <c r="AA50" s="544"/>
      <c r="AE50" s="1054"/>
    </row>
    <row r="51" spans="1:31" ht="21.75" hidden="1" customHeight="1" x14ac:dyDescent="0.15">
      <c r="A51" s="569"/>
      <c r="B51" s="570"/>
      <c r="C51" s="570"/>
      <c r="D51" s="571"/>
      <c r="E51" s="572"/>
      <c r="F51" s="573"/>
      <c r="G51" s="942"/>
      <c r="H51" s="602"/>
      <c r="I51" s="574"/>
      <c r="J51" s="574"/>
      <c r="K51" s="955"/>
      <c r="L51" s="910" t="s">
        <v>680</v>
      </c>
      <c r="M51" s="910"/>
      <c r="N51" s="910" t="s">
        <v>690</v>
      </c>
      <c r="O51" s="911">
        <f>'사. 임직원보수 일람표'!H45</f>
        <v>2730000</v>
      </c>
      <c r="P51" s="913" t="s">
        <v>724</v>
      </c>
      <c r="Q51" s="914">
        <v>1</v>
      </c>
      <c r="R51" s="913" t="s">
        <v>724</v>
      </c>
      <c r="S51" s="915">
        <f>'사. 임직원보수 일람표'!F45</f>
        <v>5</v>
      </c>
      <c r="T51" s="916" t="s">
        <v>345</v>
      </c>
      <c r="U51" s="917">
        <f t="shared" si="2"/>
        <v>13650000</v>
      </c>
      <c r="Y51" s="544"/>
      <c r="Z51" s="544"/>
      <c r="AA51" s="544"/>
      <c r="AE51" s="1054"/>
    </row>
    <row r="52" spans="1:31" ht="21.75" hidden="1" customHeight="1" x14ac:dyDescent="0.15">
      <c r="A52" s="569"/>
      <c r="B52" s="570"/>
      <c r="C52" s="570"/>
      <c r="D52" s="571"/>
      <c r="E52" s="572"/>
      <c r="F52" s="573"/>
      <c r="G52" s="942"/>
      <c r="H52" s="602"/>
      <c r="I52" s="574"/>
      <c r="J52" s="574"/>
      <c r="K52" s="955"/>
      <c r="L52" s="910" t="s">
        <v>680</v>
      </c>
      <c r="M52" s="910"/>
      <c r="N52" s="910" t="s">
        <v>690</v>
      </c>
      <c r="O52" s="911">
        <f>'사. 임직원보수 일람표'!H46</f>
        <v>2789000</v>
      </c>
      <c r="P52" s="913" t="s">
        <v>724</v>
      </c>
      <c r="Q52" s="914">
        <v>1</v>
      </c>
      <c r="R52" s="913" t="s">
        <v>724</v>
      </c>
      <c r="S52" s="915">
        <f>'사. 임직원보수 일람표'!F46</f>
        <v>7</v>
      </c>
      <c r="T52" s="916" t="s">
        <v>345</v>
      </c>
      <c r="U52" s="917">
        <f t="shared" si="2"/>
        <v>19523000</v>
      </c>
      <c r="Y52" s="544"/>
      <c r="Z52" s="544"/>
      <c r="AA52" s="544"/>
      <c r="AE52" s="1054"/>
    </row>
    <row r="53" spans="1:31" ht="21.75" hidden="1" customHeight="1" x14ac:dyDescent="0.15">
      <c r="A53" s="569"/>
      <c r="B53" s="570"/>
      <c r="C53" s="570"/>
      <c r="D53" s="571"/>
      <c r="E53" s="572"/>
      <c r="F53" s="573"/>
      <c r="G53" s="942"/>
      <c r="H53" s="602"/>
      <c r="I53" s="574"/>
      <c r="J53" s="574"/>
      <c r="K53" s="955"/>
      <c r="L53" s="910" t="s">
        <v>680</v>
      </c>
      <c r="M53" s="910"/>
      <c r="N53" s="910" t="s">
        <v>691</v>
      </c>
      <c r="O53" s="911">
        <f>'사. 임직원보수 일람표'!H47</f>
        <v>2616000</v>
      </c>
      <c r="P53" s="913" t="s">
        <v>724</v>
      </c>
      <c r="Q53" s="914">
        <v>1</v>
      </c>
      <c r="R53" s="913" t="s">
        <v>724</v>
      </c>
      <c r="S53" s="915">
        <f>'사. 임직원보수 일람표'!F47</f>
        <v>6</v>
      </c>
      <c r="T53" s="916" t="s">
        <v>345</v>
      </c>
      <c r="U53" s="917">
        <f t="shared" si="2"/>
        <v>15696000</v>
      </c>
      <c r="Y53" s="544"/>
      <c r="Z53" s="544"/>
      <c r="AA53" s="544"/>
      <c r="AE53" s="1054"/>
    </row>
    <row r="54" spans="1:31" ht="21.75" hidden="1" customHeight="1" x14ac:dyDescent="0.15">
      <c r="A54" s="569"/>
      <c r="B54" s="570"/>
      <c r="C54" s="570"/>
      <c r="D54" s="571"/>
      <c r="E54" s="572"/>
      <c r="F54" s="573"/>
      <c r="G54" s="942"/>
      <c r="H54" s="602"/>
      <c r="I54" s="574"/>
      <c r="J54" s="574"/>
      <c r="K54" s="955"/>
      <c r="L54" s="910" t="s">
        <v>680</v>
      </c>
      <c r="M54" s="910"/>
      <c r="N54" s="910" t="s">
        <v>691</v>
      </c>
      <c r="O54" s="911">
        <f>'사. 임직원보수 일람표'!H48</f>
        <v>2667000</v>
      </c>
      <c r="P54" s="913" t="s">
        <v>724</v>
      </c>
      <c r="Q54" s="914">
        <v>1</v>
      </c>
      <c r="R54" s="913" t="s">
        <v>724</v>
      </c>
      <c r="S54" s="915">
        <f>'사. 임직원보수 일람표'!F48</f>
        <v>6</v>
      </c>
      <c r="T54" s="916" t="s">
        <v>345</v>
      </c>
      <c r="U54" s="917">
        <f t="shared" si="2"/>
        <v>16002000</v>
      </c>
      <c r="Y54" s="544"/>
      <c r="Z54" s="544"/>
      <c r="AA54" s="544"/>
      <c r="AE54" s="1054"/>
    </row>
    <row r="55" spans="1:31" ht="21.75" hidden="1" customHeight="1" x14ac:dyDescent="0.15">
      <c r="A55" s="569"/>
      <c r="B55" s="570"/>
      <c r="C55" s="570"/>
      <c r="D55" s="571"/>
      <c r="E55" s="572"/>
      <c r="F55" s="573"/>
      <c r="G55" s="942"/>
      <c r="H55" s="602"/>
      <c r="I55" s="574"/>
      <c r="J55" s="574"/>
      <c r="K55" s="955"/>
      <c r="L55" s="910" t="s">
        <v>680</v>
      </c>
      <c r="M55" s="910"/>
      <c r="N55" s="910" t="s">
        <v>692</v>
      </c>
      <c r="O55" s="911">
        <f>'사. 임직원보수 일람표'!H49</f>
        <v>2478000</v>
      </c>
      <c r="P55" s="913" t="s">
        <v>724</v>
      </c>
      <c r="Q55" s="914">
        <v>1</v>
      </c>
      <c r="R55" s="913" t="s">
        <v>724</v>
      </c>
      <c r="S55" s="915">
        <f>'사. 임직원보수 일람표'!F49</f>
        <v>6</v>
      </c>
      <c r="T55" s="916" t="s">
        <v>345</v>
      </c>
      <c r="U55" s="917">
        <f t="shared" si="2"/>
        <v>14868000</v>
      </c>
      <c r="Y55" s="544"/>
      <c r="Z55" s="544"/>
      <c r="AA55" s="544"/>
      <c r="AE55" s="1054"/>
    </row>
    <row r="56" spans="1:31" ht="21.75" hidden="1" customHeight="1" x14ac:dyDescent="0.15">
      <c r="A56" s="569"/>
      <c r="B56" s="570"/>
      <c r="C56" s="570"/>
      <c r="D56" s="571"/>
      <c r="E56" s="572"/>
      <c r="F56" s="573"/>
      <c r="G56" s="942"/>
      <c r="H56" s="602"/>
      <c r="I56" s="574"/>
      <c r="J56" s="574"/>
      <c r="K56" s="955"/>
      <c r="L56" s="910" t="s">
        <v>680</v>
      </c>
      <c r="M56" s="910"/>
      <c r="N56" s="910" t="s">
        <v>692</v>
      </c>
      <c r="O56" s="911">
        <f>'사. 임직원보수 일람표'!H50</f>
        <v>2555000</v>
      </c>
      <c r="P56" s="913" t="s">
        <v>724</v>
      </c>
      <c r="Q56" s="914">
        <v>1</v>
      </c>
      <c r="R56" s="913" t="s">
        <v>724</v>
      </c>
      <c r="S56" s="915">
        <f>'사. 임직원보수 일람표'!F50</f>
        <v>6</v>
      </c>
      <c r="T56" s="916" t="s">
        <v>345</v>
      </c>
      <c r="U56" s="917">
        <f t="shared" si="2"/>
        <v>15330000</v>
      </c>
      <c r="Y56" s="544"/>
      <c r="Z56" s="544"/>
      <c r="AA56" s="544"/>
      <c r="AE56" s="1054"/>
    </row>
    <row r="57" spans="1:31" ht="21.75" hidden="1" customHeight="1" x14ac:dyDescent="0.15">
      <c r="A57" s="569"/>
      <c r="B57" s="570"/>
      <c r="C57" s="570"/>
      <c r="D57" s="571"/>
      <c r="E57" s="572"/>
      <c r="F57" s="573"/>
      <c r="G57" s="942"/>
      <c r="H57" s="602"/>
      <c r="I57" s="574"/>
      <c r="J57" s="574"/>
      <c r="K57" s="955"/>
      <c r="L57" s="910" t="s">
        <v>680</v>
      </c>
      <c r="M57" s="910"/>
      <c r="N57" s="910" t="s">
        <v>693</v>
      </c>
      <c r="O57" s="911">
        <f>'사. 임직원보수 일람표'!H51</f>
        <v>2310000</v>
      </c>
      <c r="P57" s="913" t="s">
        <v>724</v>
      </c>
      <c r="Q57" s="914">
        <v>1</v>
      </c>
      <c r="R57" s="913" t="s">
        <v>724</v>
      </c>
      <c r="S57" s="915">
        <f>'사. 임직원보수 일람표'!F51</f>
        <v>4</v>
      </c>
      <c r="T57" s="916" t="s">
        <v>345</v>
      </c>
      <c r="U57" s="917">
        <f t="shared" si="2"/>
        <v>9240000</v>
      </c>
      <c r="Y57" s="544"/>
      <c r="Z57" s="544"/>
      <c r="AA57" s="544"/>
      <c r="AE57" s="1054"/>
    </row>
    <row r="58" spans="1:31" ht="21.75" hidden="1" customHeight="1" x14ac:dyDescent="0.15">
      <c r="A58" s="569"/>
      <c r="B58" s="570"/>
      <c r="C58" s="570"/>
      <c r="D58" s="571"/>
      <c r="E58" s="572"/>
      <c r="F58" s="573"/>
      <c r="G58" s="942"/>
      <c r="H58" s="602"/>
      <c r="I58" s="574"/>
      <c r="J58" s="574"/>
      <c r="K58" s="955"/>
      <c r="L58" s="910" t="s">
        <v>680</v>
      </c>
      <c r="M58" s="910"/>
      <c r="N58" s="910" t="s">
        <v>693</v>
      </c>
      <c r="O58" s="911">
        <f>'사. 임직원보수 일람표'!H52</f>
        <v>2396000</v>
      </c>
      <c r="P58" s="913" t="s">
        <v>724</v>
      </c>
      <c r="Q58" s="914">
        <v>1</v>
      </c>
      <c r="R58" s="913" t="s">
        <v>724</v>
      </c>
      <c r="S58" s="915">
        <f>'사. 임직원보수 일람표'!F52</f>
        <v>8</v>
      </c>
      <c r="T58" s="916" t="s">
        <v>345</v>
      </c>
      <c r="U58" s="917">
        <f t="shared" si="2"/>
        <v>19168000</v>
      </c>
      <c r="Y58" s="544"/>
      <c r="Z58" s="544"/>
      <c r="AA58" s="544"/>
      <c r="AE58" s="1054"/>
    </row>
    <row r="59" spans="1:31" ht="21.75" hidden="1" customHeight="1" x14ac:dyDescent="0.15">
      <c r="A59" s="569"/>
      <c r="B59" s="570"/>
      <c r="C59" s="570"/>
      <c r="D59" s="571"/>
      <c r="E59" s="572"/>
      <c r="F59" s="573"/>
      <c r="G59" s="942"/>
      <c r="H59" s="602"/>
      <c r="I59" s="574"/>
      <c r="J59" s="574"/>
      <c r="K59" s="955"/>
      <c r="L59" s="910" t="s">
        <v>680</v>
      </c>
      <c r="M59" s="910"/>
      <c r="N59" s="910" t="s">
        <v>694</v>
      </c>
      <c r="O59" s="911">
        <f>'사. 임직원보수 일람표'!H53</f>
        <v>2234000</v>
      </c>
      <c r="P59" s="913" t="s">
        <v>724</v>
      </c>
      <c r="Q59" s="914">
        <v>1</v>
      </c>
      <c r="R59" s="913" t="s">
        <v>724</v>
      </c>
      <c r="S59" s="915">
        <f>'사. 임직원보수 일람표'!F53</f>
        <v>9</v>
      </c>
      <c r="T59" s="916" t="s">
        <v>345</v>
      </c>
      <c r="U59" s="917">
        <f t="shared" si="2"/>
        <v>20106000</v>
      </c>
      <c r="Y59" s="544"/>
      <c r="Z59" s="544"/>
      <c r="AA59" s="544"/>
      <c r="AE59" s="1054"/>
    </row>
    <row r="60" spans="1:31" ht="21.75" hidden="1" customHeight="1" x14ac:dyDescent="0.15">
      <c r="A60" s="569"/>
      <c r="B60" s="570"/>
      <c r="C60" s="570"/>
      <c r="D60" s="571"/>
      <c r="E60" s="572"/>
      <c r="F60" s="573"/>
      <c r="G60" s="942"/>
      <c r="H60" s="602"/>
      <c r="I60" s="574"/>
      <c r="J60" s="574"/>
      <c r="K60" s="955"/>
      <c r="L60" s="910" t="s">
        <v>680</v>
      </c>
      <c r="M60" s="910"/>
      <c r="N60" s="910" t="s">
        <v>694</v>
      </c>
      <c r="O60" s="911">
        <f>'사. 임직원보수 일람표'!H54</f>
        <v>2310000</v>
      </c>
      <c r="P60" s="913" t="s">
        <v>724</v>
      </c>
      <c r="Q60" s="914">
        <v>1</v>
      </c>
      <c r="R60" s="913" t="s">
        <v>724</v>
      </c>
      <c r="S60" s="915">
        <f>'사. 임직원보수 일람표'!F54</f>
        <v>3</v>
      </c>
      <c r="T60" s="916" t="s">
        <v>345</v>
      </c>
      <c r="U60" s="917">
        <f t="shared" si="2"/>
        <v>6930000</v>
      </c>
      <c r="Y60" s="544"/>
      <c r="Z60" s="544"/>
      <c r="AA60" s="544"/>
      <c r="AE60" s="1054"/>
    </row>
    <row r="61" spans="1:31" ht="21.75" hidden="1" customHeight="1" x14ac:dyDescent="0.15">
      <c r="A61" s="569"/>
      <c r="B61" s="570"/>
      <c r="C61" s="570"/>
      <c r="D61" s="571"/>
      <c r="E61" s="572"/>
      <c r="F61" s="573"/>
      <c r="G61" s="942"/>
      <c r="H61" s="602"/>
      <c r="I61" s="574"/>
      <c r="J61" s="574"/>
      <c r="K61" s="955"/>
      <c r="L61" s="910" t="s">
        <v>680</v>
      </c>
      <c r="M61" s="910"/>
      <c r="N61" s="910" t="s">
        <v>695</v>
      </c>
      <c r="O61" s="911">
        <f>'사. 임직원보수 일람표'!H55</f>
        <v>2310000</v>
      </c>
      <c r="P61" s="913" t="s">
        <v>724</v>
      </c>
      <c r="Q61" s="914">
        <v>1</v>
      </c>
      <c r="R61" s="913" t="s">
        <v>724</v>
      </c>
      <c r="S61" s="915">
        <f>'사. 임직원보수 일람표'!F55</f>
        <v>4</v>
      </c>
      <c r="T61" s="916" t="s">
        <v>345</v>
      </c>
      <c r="U61" s="917">
        <f t="shared" si="2"/>
        <v>9240000</v>
      </c>
      <c r="Y61" s="544"/>
      <c r="Z61" s="544"/>
      <c r="AA61" s="544"/>
      <c r="AE61" s="1054"/>
    </row>
    <row r="62" spans="1:31" ht="21.75" hidden="1" customHeight="1" x14ac:dyDescent="0.15">
      <c r="A62" s="569"/>
      <c r="B62" s="570"/>
      <c r="C62" s="570"/>
      <c r="D62" s="571"/>
      <c r="E62" s="572"/>
      <c r="F62" s="573"/>
      <c r="G62" s="942"/>
      <c r="H62" s="602"/>
      <c r="I62" s="574"/>
      <c r="J62" s="574"/>
      <c r="K62" s="955"/>
      <c r="L62" s="910" t="s">
        <v>680</v>
      </c>
      <c r="M62" s="910"/>
      <c r="N62" s="910" t="s">
        <v>695</v>
      </c>
      <c r="O62" s="911">
        <f>'사. 임직원보수 일람표'!H56</f>
        <v>2396000</v>
      </c>
      <c r="P62" s="913" t="s">
        <v>724</v>
      </c>
      <c r="Q62" s="914">
        <v>1</v>
      </c>
      <c r="R62" s="913" t="s">
        <v>724</v>
      </c>
      <c r="S62" s="915">
        <f>'사. 임직원보수 일람표'!F56</f>
        <v>8</v>
      </c>
      <c r="T62" s="916" t="s">
        <v>345</v>
      </c>
      <c r="U62" s="917">
        <f t="shared" si="2"/>
        <v>19168000</v>
      </c>
      <c r="Y62" s="544"/>
      <c r="Z62" s="544"/>
      <c r="AA62" s="544"/>
      <c r="AE62" s="1054"/>
    </row>
    <row r="63" spans="1:31" ht="21.75" hidden="1" customHeight="1" x14ac:dyDescent="0.15">
      <c r="A63" s="569"/>
      <c r="B63" s="570"/>
      <c r="C63" s="570"/>
      <c r="D63" s="571"/>
      <c r="E63" s="572"/>
      <c r="F63" s="573"/>
      <c r="G63" s="942"/>
      <c r="H63" s="602"/>
      <c r="I63" s="574"/>
      <c r="J63" s="574"/>
      <c r="K63" s="955"/>
      <c r="L63" s="910" t="s">
        <v>680</v>
      </c>
      <c r="M63" s="910"/>
      <c r="N63" s="910" t="s">
        <v>1202</v>
      </c>
      <c r="O63" s="911">
        <f>'사. 임직원보수 일람표'!H57</f>
        <v>2478000</v>
      </c>
      <c r="P63" s="913" t="s">
        <v>724</v>
      </c>
      <c r="Q63" s="914">
        <v>1</v>
      </c>
      <c r="R63" s="913" t="s">
        <v>724</v>
      </c>
      <c r="S63" s="915">
        <f>'사. 임직원보수 일람표'!F57</f>
        <v>12</v>
      </c>
      <c r="T63" s="916" t="s">
        <v>345</v>
      </c>
      <c r="U63" s="917">
        <f t="shared" si="2"/>
        <v>29736000</v>
      </c>
      <c r="Y63" s="544"/>
      <c r="Z63" s="544"/>
      <c r="AA63" s="544"/>
      <c r="AE63" s="1054"/>
    </row>
    <row r="64" spans="1:31" ht="21.75" hidden="1" customHeight="1" x14ac:dyDescent="0.15">
      <c r="A64" s="569"/>
      <c r="B64" s="570"/>
      <c r="C64" s="570"/>
      <c r="D64" s="571"/>
      <c r="E64" s="572"/>
      <c r="F64" s="573"/>
      <c r="G64" s="942"/>
      <c r="H64" s="602"/>
      <c r="I64" s="574"/>
      <c r="J64" s="574"/>
      <c r="K64" s="955"/>
      <c r="L64" s="910" t="s">
        <v>680</v>
      </c>
      <c r="M64" s="910"/>
      <c r="N64" s="910" t="s">
        <v>1203</v>
      </c>
      <c r="O64" s="911">
        <f>'사. 임직원보수 일람표'!H58</f>
        <v>0</v>
      </c>
      <c r="P64" s="913" t="s">
        <v>724</v>
      </c>
      <c r="Q64" s="914">
        <v>1</v>
      </c>
      <c r="R64" s="913" t="s">
        <v>724</v>
      </c>
      <c r="S64" s="915">
        <f>'사. 임직원보수 일람표'!F58</f>
        <v>0</v>
      </c>
      <c r="T64" s="916" t="s">
        <v>345</v>
      </c>
      <c r="U64" s="917">
        <f t="shared" si="2"/>
        <v>0</v>
      </c>
      <c r="Y64" s="544"/>
      <c r="Z64" s="544"/>
      <c r="AA64" s="544"/>
      <c r="AE64" s="1054"/>
    </row>
    <row r="65" spans="1:31" ht="21.75" hidden="1" customHeight="1" x14ac:dyDescent="0.15">
      <c r="A65" s="569"/>
      <c r="B65" s="570"/>
      <c r="C65" s="570"/>
      <c r="D65" s="571"/>
      <c r="E65" s="572"/>
      <c r="F65" s="573"/>
      <c r="G65" s="942"/>
      <c r="H65" s="602"/>
      <c r="I65" s="574"/>
      <c r="J65" s="574"/>
      <c r="K65" s="955"/>
      <c r="L65" s="910" t="s">
        <v>680</v>
      </c>
      <c r="M65" s="910"/>
      <c r="N65" s="910" t="s">
        <v>1204</v>
      </c>
      <c r="O65" s="911">
        <f>'사. 임직원보수 일람표'!H59</f>
        <v>2099000</v>
      </c>
      <c r="P65" s="913" t="s">
        <v>724</v>
      </c>
      <c r="Q65" s="914">
        <v>1</v>
      </c>
      <c r="R65" s="913" t="s">
        <v>724</v>
      </c>
      <c r="S65" s="915">
        <f>'사. 임직원보수 일람표'!F59</f>
        <v>5</v>
      </c>
      <c r="T65" s="916" t="s">
        <v>345</v>
      </c>
      <c r="U65" s="917">
        <f t="shared" si="2"/>
        <v>10495000</v>
      </c>
      <c r="Y65" s="544"/>
      <c r="Z65" s="544"/>
      <c r="AA65" s="544"/>
      <c r="AE65" s="1054"/>
    </row>
    <row r="66" spans="1:31" ht="21.75" hidden="1" customHeight="1" x14ac:dyDescent="0.15">
      <c r="A66" s="569"/>
      <c r="B66" s="570"/>
      <c r="C66" s="570"/>
      <c r="D66" s="571"/>
      <c r="E66" s="572"/>
      <c r="F66" s="573"/>
      <c r="G66" s="942"/>
      <c r="H66" s="602"/>
      <c r="I66" s="574"/>
      <c r="J66" s="574"/>
      <c r="K66" s="955"/>
      <c r="L66" s="910" t="s">
        <v>680</v>
      </c>
      <c r="M66" s="910"/>
      <c r="N66" s="910" t="s">
        <v>697</v>
      </c>
      <c r="O66" s="911">
        <f>'사. 임직원보수 일람표'!H60</f>
        <v>2164000</v>
      </c>
      <c r="P66" s="913" t="s">
        <v>724</v>
      </c>
      <c r="Q66" s="914">
        <v>1</v>
      </c>
      <c r="R66" s="913" t="s">
        <v>724</v>
      </c>
      <c r="S66" s="915">
        <f>'사. 임직원보수 일람표'!F60</f>
        <v>7</v>
      </c>
      <c r="T66" s="916" t="s">
        <v>345</v>
      </c>
      <c r="U66" s="917">
        <f t="shared" si="2"/>
        <v>15148000</v>
      </c>
      <c r="Y66" s="544"/>
      <c r="Z66" s="544"/>
      <c r="AA66" s="544"/>
      <c r="AE66" s="1054"/>
    </row>
    <row r="67" spans="1:31" ht="21.75" hidden="1" customHeight="1" x14ac:dyDescent="0.15">
      <c r="A67" s="569"/>
      <c r="B67" s="570"/>
      <c r="C67" s="570"/>
      <c r="D67" s="571"/>
      <c r="E67" s="572"/>
      <c r="F67" s="573"/>
      <c r="G67" s="942"/>
      <c r="H67" s="602"/>
      <c r="I67" s="574"/>
      <c r="J67" s="574"/>
      <c r="K67" s="955"/>
      <c r="L67" s="910" t="s">
        <v>680</v>
      </c>
      <c r="M67" s="910"/>
      <c r="N67" s="910" t="s">
        <v>1205</v>
      </c>
      <c r="O67" s="911">
        <f>'사. 임직원보수 일람표'!H61</f>
        <v>2099000</v>
      </c>
      <c r="P67" s="913" t="s">
        <v>724</v>
      </c>
      <c r="Q67" s="914">
        <v>1</v>
      </c>
      <c r="R67" s="913" t="s">
        <v>724</v>
      </c>
      <c r="S67" s="915">
        <f>'사. 임직원보수 일람표'!F61</f>
        <v>10</v>
      </c>
      <c r="T67" s="916" t="s">
        <v>345</v>
      </c>
      <c r="U67" s="917">
        <f t="shared" si="2"/>
        <v>20990000</v>
      </c>
      <c r="Y67" s="544"/>
      <c r="Z67" s="544"/>
      <c r="AA67" s="544"/>
      <c r="AE67" s="1054"/>
    </row>
    <row r="68" spans="1:31" ht="21.75" hidden="1" customHeight="1" x14ac:dyDescent="0.15">
      <c r="A68" s="569"/>
      <c r="B68" s="570"/>
      <c r="C68" s="570"/>
      <c r="D68" s="571"/>
      <c r="E68" s="572"/>
      <c r="F68" s="573"/>
      <c r="G68" s="942"/>
      <c r="H68" s="602"/>
      <c r="I68" s="574"/>
      <c r="J68" s="574"/>
      <c r="K68" s="955"/>
      <c r="L68" s="910" t="s">
        <v>680</v>
      </c>
      <c r="M68" s="910"/>
      <c r="N68" s="910" t="s">
        <v>1206</v>
      </c>
      <c r="O68" s="911">
        <f>'사. 임직원보수 일람표'!H62</f>
        <v>2164000</v>
      </c>
      <c r="P68" s="913" t="s">
        <v>724</v>
      </c>
      <c r="Q68" s="914">
        <v>1</v>
      </c>
      <c r="R68" s="913" t="s">
        <v>724</v>
      </c>
      <c r="S68" s="915">
        <f>'사. 임직원보수 일람표'!F62</f>
        <v>2</v>
      </c>
      <c r="T68" s="916" t="s">
        <v>345</v>
      </c>
      <c r="U68" s="917">
        <f t="shared" si="2"/>
        <v>4328000</v>
      </c>
      <c r="Y68" s="544"/>
      <c r="Z68" s="544"/>
      <c r="AA68" s="544"/>
      <c r="AE68" s="1054"/>
    </row>
    <row r="69" spans="1:31" ht="21.75" hidden="1" customHeight="1" x14ac:dyDescent="0.15">
      <c r="A69" s="569"/>
      <c r="B69" s="570"/>
      <c r="C69" s="570"/>
      <c r="D69" s="571"/>
      <c r="E69" s="572"/>
      <c r="F69" s="573"/>
      <c r="G69" s="942"/>
      <c r="H69" s="602"/>
      <c r="I69" s="574"/>
      <c r="J69" s="574"/>
      <c r="K69" s="955"/>
      <c r="L69" s="910" t="s">
        <v>680</v>
      </c>
      <c r="M69" s="910"/>
      <c r="N69" s="910" t="s">
        <v>699</v>
      </c>
      <c r="O69" s="911">
        <f>'사. 임직원보수 일람표'!H63</f>
        <v>2036000</v>
      </c>
      <c r="P69" s="913" t="s">
        <v>724</v>
      </c>
      <c r="Q69" s="914">
        <v>1</v>
      </c>
      <c r="R69" s="913" t="s">
        <v>724</v>
      </c>
      <c r="S69" s="915">
        <f>'사. 임직원보수 일람표'!F63</f>
        <v>2</v>
      </c>
      <c r="T69" s="916" t="s">
        <v>345</v>
      </c>
      <c r="U69" s="917">
        <f t="shared" si="2"/>
        <v>4072000</v>
      </c>
      <c r="Y69" s="544"/>
      <c r="Z69" s="544"/>
      <c r="AA69" s="544"/>
      <c r="AE69" s="1054"/>
    </row>
    <row r="70" spans="1:31" ht="21.75" hidden="1" customHeight="1" x14ac:dyDescent="0.15">
      <c r="A70" s="569"/>
      <c r="B70" s="570"/>
      <c r="C70" s="570"/>
      <c r="D70" s="571"/>
      <c r="E70" s="572"/>
      <c r="F70" s="573"/>
      <c r="G70" s="942"/>
      <c r="H70" s="602"/>
      <c r="I70" s="574"/>
      <c r="J70" s="574"/>
      <c r="K70" s="955"/>
      <c r="L70" s="910" t="s">
        <v>680</v>
      </c>
      <c r="M70" s="910"/>
      <c r="N70" s="910" t="s">
        <v>1207</v>
      </c>
      <c r="O70" s="911">
        <f>'사. 임직원보수 일람표'!H64</f>
        <v>2099000</v>
      </c>
      <c r="P70" s="913" t="s">
        <v>724</v>
      </c>
      <c r="Q70" s="914">
        <v>1</v>
      </c>
      <c r="R70" s="913" t="s">
        <v>724</v>
      </c>
      <c r="S70" s="915">
        <f>'사. 임직원보수 일람표'!F64</f>
        <v>10</v>
      </c>
      <c r="T70" s="916" t="s">
        <v>345</v>
      </c>
      <c r="U70" s="917">
        <f t="shared" si="2"/>
        <v>20990000</v>
      </c>
      <c r="Y70" s="544"/>
      <c r="Z70" s="544"/>
      <c r="AA70" s="544"/>
      <c r="AE70" s="1054"/>
    </row>
    <row r="71" spans="1:31" ht="21.75" hidden="1" customHeight="1" x14ac:dyDescent="0.15">
      <c r="A71" s="569"/>
      <c r="B71" s="570"/>
      <c r="C71" s="570"/>
      <c r="D71" s="571"/>
      <c r="E71" s="572"/>
      <c r="F71" s="573"/>
      <c r="G71" s="942"/>
      <c r="H71" s="602"/>
      <c r="I71" s="574"/>
      <c r="J71" s="574"/>
      <c r="K71" s="955"/>
      <c r="L71" s="910" t="s">
        <v>680</v>
      </c>
      <c r="M71" s="910"/>
      <c r="N71" s="910" t="s">
        <v>1208</v>
      </c>
      <c r="O71" s="911">
        <f>'사. 임직원보수 일람표'!H65</f>
        <v>2099000</v>
      </c>
      <c r="P71" s="913" t="s">
        <v>724</v>
      </c>
      <c r="Q71" s="914">
        <v>1</v>
      </c>
      <c r="R71" s="913" t="s">
        <v>724</v>
      </c>
      <c r="S71" s="915">
        <f>'사. 임직원보수 일람표'!F65</f>
        <v>1</v>
      </c>
      <c r="T71" s="916" t="s">
        <v>345</v>
      </c>
      <c r="U71" s="917">
        <f t="shared" si="2"/>
        <v>2099000</v>
      </c>
      <c r="Y71" s="544"/>
      <c r="Z71" s="544"/>
      <c r="AA71" s="544"/>
      <c r="AE71" s="1054"/>
    </row>
    <row r="72" spans="1:31" ht="21.75" hidden="1" customHeight="1" x14ac:dyDescent="0.15">
      <c r="A72" s="569"/>
      <c r="B72" s="570"/>
      <c r="C72" s="570"/>
      <c r="D72" s="571"/>
      <c r="E72" s="572"/>
      <c r="F72" s="573"/>
      <c r="G72" s="942"/>
      <c r="H72" s="602"/>
      <c r="I72" s="574"/>
      <c r="J72" s="574"/>
      <c r="K72" s="955"/>
      <c r="L72" s="910" t="s">
        <v>680</v>
      </c>
      <c r="M72" s="910"/>
      <c r="N72" s="910" t="s">
        <v>1209</v>
      </c>
      <c r="O72" s="911">
        <f>'사. 임직원보수 일람표'!H66</f>
        <v>2164000</v>
      </c>
      <c r="P72" s="913" t="s">
        <v>724</v>
      </c>
      <c r="Q72" s="914">
        <v>1</v>
      </c>
      <c r="R72" s="913" t="s">
        <v>724</v>
      </c>
      <c r="S72" s="915">
        <f>'사. 임직원보수 일람표'!F66</f>
        <v>11</v>
      </c>
      <c r="T72" s="916" t="s">
        <v>345</v>
      </c>
      <c r="U72" s="917">
        <f t="shared" si="2"/>
        <v>23804000</v>
      </c>
      <c r="Y72" s="544"/>
      <c r="Z72" s="544"/>
      <c r="AA72" s="544"/>
      <c r="AE72" s="1054"/>
    </row>
    <row r="73" spans="1:31" ht="21.75" hidden="1" customHeight="1" x14ac:dyDescent="0.15">
      <c r="A73" s="569"/>
      <c r="B73" s="570"/>
      <c r="C73" s="570"/>
      <c r="D73" s="571"/>
      <c r="E73" s="572"/>
      <c r="F73" s="573"/>
      <c r="G73" s="942"/>
      <c r="H73" s="602"/>
      <c r="I73" s="574"/>
      <c r="J73" s="574"/>
      <c r="K73" s="955"/>
      <c r="L73" s="910" t="s">
        <v>680</v>
      </c>
      <c r="M73" s="910"/>
      <c r="N73" s="910" t="s">
        <v>1210</v>
      </c>
      <c r="O73" s="911">
        <f>'사. 임직원보수 일람표'!H67</f>
        <v>2164000</v>
      </c>
      <c r="P73" s="913" t="s">
        <v>724</v>
      </c>
      <c r="Q73" s="914">
        <v>1</v>
      </c>
      <c r="R73" s="913" t="s">
        <v>724</v>
      </c>
      <c r="S73" s="915">
        <f>'사. 임직원보수 일람표'!F67</f>
        <v>12</v>
      </c>
      <c r="T73" s="916" t="s">
        <v>345</v>
      </c>
      <c r="U73" s="917">
        <f t="shared" si="2"/>
        <v>25968000</v>
      </c>
      <c r="Y73" s="544"/>
      <c r="Z73" s="544"/>
      <c r="AA73" s="544"/>
      <c r="AE73" s="1054"/>
    </row>
    <row r="74" spans="1:31" ht="21.75" hidden="1" customHeight="1" x14ac:dyDescent="0.15">
      <c r="A74" s="569"/>
      <c r="B74" s="570"/>
      <c r="C74" s="570"/>
      <c r="D74" s="571"/>
      <c r="E74" s="572"/>
      <c r="F74" s="573"/>
      <c r="G74" s="942"/>
      <c r="H74" s="602"/>
      <c r="I74" s="574"/>
      <c r="J74" s="574"/>
      <c r="K74" s="955"/>
      <c r="L74" s="910" t="s">
        <v>680</v>
      </c>
      <c r="M74" s="910"/>
      <c r="N74" s="910" t="s">
        <v>1211</v>
      </c>
      <c r="O74" s="911">
        <f>'사. 임직원보수 일람표'!H68</f>
        <v>0</v>
      </c>
      <c r="P74" s="913" t="s">
        <v>724</v>
      </c>
      <c r="Q74" s="914">
        <v>1</v>
      </c>
      <c r="R74" s="913" t="s">
        <v>724</v>
      </c>
      <c r="S74" s="915">
        <f>'사. 임직원보수 일람표'!F68</f>
        <v>0</v>
      </c>
      <c r="T74" s="916" t="s">
        <v>345</v>
      </c>
      <c r="U74" s="917">
        <f t="shared" si="2"/>
        <v>0</v>
      </c>
      <c r="Y74" s="544"/>
      <c r="Z74" s="544"/>
      <c r="AA74" s="544"/>
      <c r="AE74" s="1054"/>
    </row>
    <row r="75" spans="1:31" ht="21.75" hidden="1" customHeight="1" x14ac:dyDescent="0.15">
      <c r="A75" s="569"/>
      <c r="B75" s="570"/>
      <c r="C75" s="570"/>
      <c r="D75" s="571"/>
      <c r="E75" s="572"/>
      <c r="F75" s="573"/>
      <c r="G75" s="942"/>
      <c r="H75" s="602"/>
      <c r="I75" s="574"/>
      <c r="J75" s="574"/>
      <c r="K75" s="955"/>
      <c r="L75" s="910" t="s">
        <v>680</v>
      </c>
      <c r="M75" s="910"/>
      <c r="N75" s="910" t="s">
        <v>1212</v>
      </c>
      <c r="O75" s="911">
        <f>'사. 임직원보수 일람표'!H69</f>
        <v>2164000</v>
      </c>
      <c r="P75" s="913" t="s">
        <v>724</v>
      </c>
      <c r="Q75" s="914">
        <v>1</v>
      </c>
      <c r="R75" s="913" t="s">
        <v>724</v>
      </c>
      <c r="S75" s="915">
        <f>'사. 임직원보수 일람표'!F69</f>
        <v>1</v>
      </c>
      <c r="T75" s="916" t="s">
        <v>345</v>
      </c>
      <c r="U75" s="917">
        <f t="shared" si="2"/>
        <v>2164000</v>
      </c>
      <c r="Y75" s="544"/>
      <c r="Z75" s="544"/>
      <c r="AA75" s="544"/>
      <c r="AE75" s="1054"/>
    </row>
    <row r="76" spans="1:31" ht="21.75" hidden="1" customHeight="1" x14ac:dyDescent="0.15">
      <c r="A76" s="569"/>
      <c r="B76" s="570"/>
      <c r="C76" s="570"/>
      <c r="D76" s="571"/>
      <c r="E76" s="572"/>
      <c r="F76" s="573"/>
      <c r="G76" s="942"/>
      <c r="H76" s="602"/>
      <c r="I76" s="574"/>
      <c r="J76" s="574"/>
      <c r="K76" s="955"/>
      <c r="L76" s="910" t="s">
        <v>680</v>
      </c>
      <c r="M76" s="910"/>
      <c r="N76" s="910" t="s">
        <v>1212</v>
      </c>
      <c r="O76" s="911">
        <f>'사. 임직원보수 일람표'!H70</f>
        <v>2234000</v>
      </c>
      <c r="P76" s="913" t="s">
        <v>724</v>
      </c>
      <c r="Q76" s="914">
        <v>1</v>
      </c>
      <c r="R76" s="913" t="s">
        <v>724</v>
      </c>
      <c r="S76" s="915">
        <f>'사. 임직원보수 일람표'!F70</f>
        <v>11</v>
      </c>
      <c r="T76" s="916" t="s">
        <v>345</v>
      </c>
      <c r="U76" s="917">
        <f t="shared" si="2"/>
        <v>24574000</v>
      </c>
      <c r="Y76" s="544"/>
      <c r="Z76" s="544"/>
      <c r="AA76" s="544"/>
      <c r="AE76" s="1054"/>
    </row>
    <row r="77" spans="1:31" ht="21.75" hidden="1" customHeight="1" x14ac:dyDescent="0.15">
      <c r="A77" s="569"/>
      <c r="B77" s="570"/>
      <c r="C77" s="570"/>
      <c r="D77" s="571"/>
      <c r="E77" s="572"/>
      <c r="F77" s="573"/>
      <c r="G77" s="942"/>
      <c r="H77" s="602"/>
      <c r="I77" s="574"/>
      <c r="J77" s="574"/>
      <c r="K77" s="955"/>
      <c r="L77" s="910" t="s">
        <v>680</v>
      </c>
      <c r="M77" s="910"/>
      <c r="N77" s="910" t="s">
        <v>1213</v>
      </c>
      <c r="O77" s="911">
        <f>'사. 임직원보수 일람표'!H71</f>
        <v>2396000</v>
      </c>
      <c r="P77" s="913" t="s">
        <v>724</v>
      </c>
      <c r="Q77" s="914">
        <v>1</v>
      </c>
      <c r="R77" s="913" t="s">
        <v>724</v>
      </c>
      <c r="S77" s="915">
        <f>'사. 임직원보수 일람표'!F71</f>
        <v>5</v>
      </c>
      <c r="T77" s="916" t="s">
        <v>345</v>
      </c>
      <c r="U77" s="917">
        <f t="shared" si="2"/>
        <v>11980000</v>
      </c>
      <c r="Y77" s="544"/>
      <c r="Z77" s="544"/>
      <c r="AA77" s="544"/>
      <c r="AE77" s="1054"/>
    </row>
    <row r="78" spans="1:31" ht="21.75" hidden="1" customHeight="1" x14ac:dyDescent="0.15">
      <c r="A78" s="569"/>
      <c r="B78" s="570"/>
      <c r="C78" s="570"/>
      <c r="D78" s="571"/>
      <c r="E78" s="572"/>
      <c r="F78" s="573"/>
      <c r="G78" s="942"/>
      <c r="H78" s="602"/>
      <c r="I78" s="574"/>
      <c r="J78" s="574"/>
      <c r="K78" s="955"/>
      <c r="L78" s="910" t="s">
        <v>680</v>
      </c>
      <c r="M78" s="910"/>
      <c r="N78" s="910" t="s">
        <v>702</v>
      </c>
      <c r="O78" s="911">
        <f>'사. 임직원보수 일람표'!H72</f>
        <v>2478000</v>
      </c>
      <c r="P78" s="913" t="s">
        <v>724</v>
      </c>
      <c r="Q78" s="914">
        <v>1</v>
      </c>
      <c r="R78" s="913" t="s">
        <v>724</v>
      </c>
      <c r="S78" s="915">
        <f>'사. 임직원보수 일람표'!F72</f>
        <v>7</v>
      </c>
      <c r="T78" s="916" t="s">
        <v>345</v>
      </c>
      <c r="U78" s="917">
        <f t="shared" si="2"/>
        <v>17346000</v>
      </c>
      <c r="Y78" s="544"/>
      <c r="Z78" s="544"/>
      <c r="AA78" s="544"/>
      <c r="AE78" s="1054"/>
    </row>
    <row r="79" spans="1:31" ht="21.75" hidden="1" customHeight="1" x14ac:dyDescent="0.15">
      <c r="A79" s="569"/>
      <c r="B79" s="570"/>
      <c r="C79" s="570"/>
      <c r="D79" s="571"/>
      <c r="E79" s="572"/>
      <c r="F79" s="573"/>
      <c r="G79" s="942"/>
      <c r="H79" s="602"/>
      <c r="I79" s="574"/>
      <c r="J79" s="574"/>
      <c r="K79" s="955"/>
      <c r="L79" s="910" t="s">
        <v>680</v>
      </c>
      <c r="M79" s="910"/>
      <c r="N79" s="910" t="s">
        <v>1214</v>
      </c>
      <c r="O79" s="911">
        <f>'사. 임직원보수 일람표'!H73</f>
        <v>2234000</v>
      </c>
      <c r="P79" s="913" t="s">
        <v>724</v>
      </c>
      <c r="Q79" s="914">
        <v>1</v>
      </c>
      <c r="R79" s="913" t="s">
        <v>724</v>
      </c>
      <c r="S79" s="915">
        <f>'사. 임직원보수 일람표'!F73</f>
        <v>7</v>
      </c>
      <c r="T79" s="916" t="s">
        <v>345</v>
      </c>
      <c r="U79" s="917">
        <f t="shared" si="2"/>
        <v>15638000</v>
      </c>
      <c r="Y79" s="544"/>
      <c r="Z79" s="544"/>
      <c r="AA79" s="544"/>
      <c r="AE79" s="1054"/>
    </row>
    <row r="80" spans="1:31" ht="21.75" hidden="1" customHeight="1" x14ac:dyDescent="0.15">
      <c r="A80" s="569"/>
      <c r="B80" s="570"/>
      <c r="C80" s="570"/>
      <c r="D80" s="571"/>
      <c r="E80" s="572"/>
      <c r="F80" s="573"/>
      <c r="G80" s="942"/>
      <c r="H80" s="602"/>
      <c r="I80" s="574"/>
      <c r="J80" s="574"/>
      <c r="K80" s="955"/>
      <c r="L80" s="910" t="s">
        <v>680</v>
      </c>
      <c r="M80" s="910"/>
      <c r="N80" s="910" t="s">
        <v>703</v>
      </c>
      <c r="O80" s="911">
        <f>'사. 임직원보수 일람표'!H74</f>
        <v>2310000</v>
      </c>
      <c r="P80" s="913" t="s">
        <v>724</v>
      </c>
      <c r="Q80" s="914">
        <v>1</v>
      </c>
      <c r="R80" s="913" t="s">
        <v>724</v>
      </c>
      <c r="S80" s="915">
        <f>'사. 임직원보수 일람표'!F74</f>
        <v>5</v>
      </c>
      <c r="T80" s="916" t="s">
        <v>345</v>
      </c>
      <c r="U80" s="917">
        <f t="shared" si="2"/>
        <v>11550000</v>
      </c>
      <c r="Y80" s="544"/>
      <c r="Z80" s="544"/>
      <c r="AA80" s="544"/>
      <c r="AE80" s="1054"/>
    </row>
    <row r="81" spans="1:31" ht="21.75" hidden="1" customHeight="1" x14ac:dyDescent="0.15">
      <c r="A81" s="569"/>
      <c r="B81" s="570"/>
      <c r="C81" s="570"/>
      <c r="D81" s="571"/>
      <c r="E81" s="572"/>
      <c r="F81" s="573"/>
      <c r="G81" s="942"/>
      <c r="H81" s="602"/>
      <c r="I81" s="574"/>
      <c r="J81" s="574"/>
      <c r="K81" s="955"/>
      <c r="L81" s="910" t="s">
        <v>680</v>
      </c>
      <c r="M81" s="910"/>
      <c r="N81" s="910" t="s">
        <v>216</v>
      </c>
      <c r="O81" s="911">
        <f>'사. 임직원보수 일람표'!H75</f>
        <v>2234000</v>
      </c>
      <c r="P81" s="913" t="s">
        <v>724</v>
      </c>
      <c r="Q81" s="914">
        <v>1</v>
      </c>
      <c r="R81" s="913" t="s">
        <v>724</v>
      </c>
      <c r="S81" s="915">
        <f>'사. 임직원보수 일람표'!F75</f>
        <v>4</v>
      </c>
      <c r="T81" s="916" t="s">
        <v>345</v>
      </c>
      <c r="U81" s="917">
        <f t="shared" si="2"/>
        <v>8936000</v>
      </c>
      <c r="Y81" s="544"/>
      <c r="Z81" s="544"/>
      <c r="AA81" s="544"/>
      <c r="AE81" s="1054"/>
    </row>
    <row r="82" spans="1:31" ht="21.75" hidden="1" customHeight="1" x14ac:dyDescent="0.15">
      <c r="A82" s="569"/>
      <c r="B82" s="570"/>
      <c r="C82" s="570"/>
      <c r="D82" s="571"/>
      <c r="E82" s="572"/>
      <c r="F82" s="573"/>
      <c r="G82" s="942"/>
      <c r="H82" s="602"/>
      <c r="I82" s="574"/>
      <c r="J82" s="574"/>
      <c r="K82" s="955"/>
      <c r="L82" s="910" t="s">
        <v>680</v>
      </c>
      <c r="M82" s="910"/>
      <c r="N82" s="910" t="s">
        <v>216</v>
      </c>
      <c r="O82" s="911">
        <f>'사. 임직원보수 일람표'!H76</f>
        <v>2310000</v>
      </c>
      <c r="P82" s="913" t="s">
        <v>724</v>
      </c>
      <c r="Q82" s="914">
        <v>1</v>
      </c>
      <c r="R82" s="913" t="s">
        <v>724</v>
      </c>
      <c r="S82" s="915">
        <f>'사. 임직원보수 일람표'!F76</f>
        <v>8</v>
      </c>
      <c r="T82" s="916" t="s">
        <v>345</v>
      </c>
      <c r="U82" s="917">
        <f t="shared" si="2"/>
        <v>18480000</v>
      </c>
      <c r="Y82" s="544"/>
      <c r="Z82" s="544"/>
      <c r="AA82" s="544"/>
      <c r="AE82" s="1054"/>
    </row>
    <row r="83" spans="1:31" ht="21.75" hidden="1" customHeight="1" x14ac:dyDescent="0.15">
      <c r="A83" s="569"/>
      <c r="B83" s="570"/>
      <c r="C83" s="570"/>
      <c r="D83" s="571"/>
      <c r="E83" s="572"/>
      <c r="F83" s="573"/>
      <c r="G83" s="942"/>
      <c r="H83" s="602"/>
      <c r="I83" s="574"/>
      <c r="J83" s="574"/>
      <c r="K83" s="955"/>
      <c r="L83" s="910" t="s">
        <v>680</v>
      </c>
      <c r="M83" s="910"/>
      <c r="N83" s="910" t="s">
        <v>227</v>
      </c>
      <c r="O83" s="911">
        <f>'사. 임직원보수 일람표'!H77</f>
        <v>2310000</v>
      </c>
      <c r="P83" s="913" t="s">
        <v>724</v>
      </c>
      <c r="Q83" s="914">
        <v>1</v>
      </c>
      <c r="R83" s="913" t="s">
        <v>724</v>
      </c>
      <c r="S83" s="915">
        <f>'사. 임직원보수 일람표'!F77</f>
        <v>7</v>
      </c>
      <c r="T83" s="916" t="s">
        <v>345</v>
      </c>
      <c r="U83" s="917">
        <f t="shared" si="2"/>
        <v>16170000</v>
      </c>
      <c r="Y83" s="544"/>
      <c r="Z83" s="544"/>
      <c r="AA83" s="544"/>
      <c r="AE83" s="1054"/>
    </row>
    <row r="84" spans="1:31" ht="21.75" hidden="1" customHeight="1" x14ac:dyDescent="0.15">
      <c r="A84" s="569"/>
      <c r="B84" s="570"/>
      <c r="C84" s="570"/>
      <c r="D84" s="571"/>
      <c r="E84" s="572"/>
      <c r="F84" s="573"/>
      <c r="G84" s="942"/>
      <c r="H84" s="602"/>
      <c r="I84" s="574"/>
      <c r="J84" s="574"/>
      <c r="K84" s="955"/>
      <c r="L84" s="910" t="s">
        <v>680</v>
      </c>
      <c r="M84" s="910"/>
      <c r="N84" s="910" t="s">
        <v>1215</v>
      </c>
      <c r="O84" s="911">
        <f>'사. 임직원보수 일람표'!H78</f>
        <v>2396000</v>
      </c>
      <c r="P84" s="913" t="s">
        <v>724</v>
      </c>
      <c r="Q84" s="914">
        <v>1</v>
      </c>
      <c r="R84" s="913" t="s">
        <v>724</v>
      </c>
      <c r="S84" s="915">
        <f>'사. 임직원보수 일람표'!F78</f>
        <v>5</v>
      </c>
      <c r="T84" s="916" t="s">
        <v>345</v>
      </c>
      <c r="U84" s="917">
        <f t="shared" ref="U84:U97" si="3">O84*Q84*S84</f>
        <v>11980000</v>
      </c>
      <c r="Y84" s="544"/>
      <c r="Z84" s="544"/>
      <c r="AA84" s="544"/>
      <c r="AE84" s="1054"/>
    </row>
    <row r="85" spans="1:31" ht="21.75" hidden="1" customHeight="1" x14ac:dyDescent="0.15">
      <c r="A85" s="569"/>
      <c r="B85" s="570"/>
      <c r="C85" s="570"/>
      <c r="D85" s="571"/>
      <c r="E85" s="572"/>
      <c r="F85" s="573"/>
      <c r="G85" s="942"/>
      <c r="H85" s="602"/>
      <c r="I85" s="574"/>
      <c r="J85" s="574"/>
      <c r="K85" s="955"/>
      <c r="L85" s="910" t="s">
        <v>680</v>
      </c>
      <c r="M85" s="910"/>
      <c r="N85" s="910" t="s">
        <v>1216</v>
      </c>
      <c r="O85" s="911">
        <f>'사. 임직원보수 일람표'!H79</f>
        <v>2036000</v>
      </c>
      <c r="P85" s="913" t="s">
        <v>724</v>
      </c>
      <c r="Q85" s="914">
        <v>1</v>
      </c>
      <c r="R85" s="913" t="s">
        <v>724</v>
      </c>
      <c r="S85" s="915">
        <f>'사. 임직원보수 일람표'!F79</f>
        <v>10</v>
      </c>
      <c r="T85" s="916" t="s">
        <v>345</v>
      </c>
      <c r="U85" s="917">
        <f t="shared" si="3"/>
        <v>20360000</v>
      </c>
      <c r="Y85" s="544"/>
      <c r="Z85" s="544"/>
      <c r="AA85" s="544"/>
      <c r="AE85" s="1054"/>
    </row>
    <row r="86" spans="1:31" ht="21.75" hidden="1" customHeight="1" x14ac:dyDescent="0.15">
      <c r="A86" s="569"/>
      <c r="B86" s="570"/>
      <c r="C86" s="570"/>
      <c r="D86" s="571"/>
      <c r="E86" s="572"/>
      <c r="F86" s="573"/>
      <c r="G86" s="942"/>
      <c r="H86" s="602"/>
      <c r="I86" s="574"/>
      <c r="J86" s="574"/>
      <c r="K86" s="955"/>
      <c r="L86" s="910" t="s">
        <v>680</v>
      </c>
      <c r="M86" s="910"/>
      <c r="N86" s="910" t="s">
        <v>1217</v>
      </c>
      <c r="O86" s="911">
        <f>'사. 임직원보수 일람표'!H80</f>
        <v>2099000</v>
      </c>
      <c r="P86" s="913" t="s">
        <v>724</v>
      </c>
      <c r="Q86" s="914">
        <v>1</v>
      </c>
      <c r="R86" s="913" t="s">
        <v>724</v>
      </c>
      <c r="S86" s="915">
        <f>'사. 임직원보수 일람표'!F80</f>
        <v>2</v>
      </c>
      <c r="T86" s="916" t="s">
        <v>345</v>
      </c>
      <c r="U86" s="917">
        <f t="shared" si="3"/>
        <v>4198000</v>
      </c>
      <c r="Y86" s="544"/>
      <c r="Z86" s="544"/>
      <c r="AA86" s="544"/>
      <c r="AE86" s="1054"/>
    </row>
    <row r="87" spans="1:31" ht="21.75" hidden="1" customHeight="1" x14ac:dyDescent="0.15">
      <c r="A87" s="569"/>
      <c r="B87" s="570"/>
      <c r="C87" s="570"/>
      <c r="D87" s="571"/>
      <c r="E87" s="572"/>
      <c r="F87" s="573"/>
      <c r="G87" s="942"/>
      <c r="H87" s="602"/>
      <c r="I87" s="574"/>
      <c r="J87" s="574"/>
      <c r="K87" s="955"/>
      <c r="L87" s="910" t="s">
        <v>680</v>
      </c>
      <c r="M87" s="910"/>
      <c r="N87" s="910" t="s">
        <v>1218</v>
      </c>
      <c r="O87" s="911">
        <f>'사. 임직원보수 일람표'!H81</f>
        <v>2730000</v>
      </c>
      <c r="P87" s="913" t="s">
        <v>724</v>
      </c>
      <c r="Q87" s="914">
        <v>1</v>
      </c>
      <c r="R87" s="913" t="s">
        <v>724</v>
      </c>
      <c r="S87" s="915">
        <f>'사. 임직원보수 일람표'!F81</f>
        <v>7</v>
      </c>
      <c r="T87" s="916" t="s">
        <v>345</v>
      </c>
      <c r="U87" s="917">
        <f t="shared" si="3"/>
        <v>19110000</v>
      </c>
      <c r="Y87" s="544"/>
      <c r="Z87" s="544"/>
      <c r="AA87" s="544"/>
      <c r="AE87" s="1054"/>
    </row>
    <row r="88" spans="1:31" ht="21.75" hidden="1" customHeight="1" x14ac:dyDescent="0.15">
      <c r="A88" s="569"/>
      <c r="B88" s="570"/>
      <c r="C88" s="570"/>
      <c r="D88" s="571"/>
      <c r="E88" s="572"/>
      <c r="F88" s="573"/>
      <c r="G88" s="942"/>
      <c r="H88" s="602"/>
      <c r="I88" s="574"/>
      <c r="J88" s="574"/>
      <c r="K88" s="955"/>
      <c r="L88" s="910" t="s">
        <v>680</v>
      </c>
      <c r="M88" s="910"/>
      <c r="N88" s="910" t="s">
        <v>1218</v>
      </c>
      <c r="O88" s="911">
        <f>'사. 임직원보수 일람표'!H82</f>
        <v>2789000</v>
      </c>
      <c r="P88" s="913" t="s">
        <v>724</v>
      </c>
      <c r="Q88" s="914">
        <v>1</v>
      </c>
      <c r="R88" s="913" t="s">
        <v>724</v>
      </c>
      <c r="S88" s="915">
        <f>'사. 임직원보수 일람표'!F82</f>
        <v>5</v>
      </c>
      <c r="T88" s="916" t="s">
        <v>345</v>
      </c>
      <c r="U88" s="917">
        <f t="shared" si="3"/>
        <v>13945000</v>
      </c>
      <c r="Y88" s="544"/>
      <c r="Z88" s="544"/>
      <c r="AA88" s="544"/>
      <c r="AE88" s="1054"/>
    </row>
    <row r="89" spans="1:31" ht="21.75" hidden="1" customHeight="1" x14ac:dyDescent="0.15">
      <c r="A89" s="569"/>
      <c r="B89" s="570"/>
      <c r="C89" s="570"/>
      <c r="D89" s="571"/>
      <c r="E89" s="572"/>
      <c r="F89" s="573"/>
      <c r="G89" s="942"/>
      <c r="H89" s="602"/>
      <c r="I89" s="574"/>
      <c r="J89" s="574"/>
      <c r="K89" s="955"/>
      <c r="L89" s="910" t="s">
        <v>680</v>
      </c>
      <c r="M89" s="910"/>
      <c r="N89" s="910" t="s">
        <v>1219</v>
      </c>
      <c r="O89" s="911">
        <f>'사. 임직원보수 일람표'!H83</f>
        <v>1978000</v>
      </c>
      <c r="P89" s="913" t="s">
        <v>724</v>
      </c>
      <c r="Q89" s="914">
        <v>1</v>
      </c>
      <c r="R89" s="913" t="s">
        <v>724</v>
      </c>
      <c r="S89" s="915">
        <f>'사. 임직원보수 일람표'!F83</f>
        <v>7</v>
      </c>
      <c r="T89" s="916" t="s">
        <v>345</v>
      </c>
      <c r="U89" s="917">
        <f t="shared" si="3"/>
        <v>13846000</v>
      </c>
      <c r="Y89" s="544"/>
      <c r="Z89" s="544"/>
      <c r="AA89" s="544"/>
      <c r="AE89" s="1054"/>
    </row>
    <row r="90" spans="1:31" ht="21.75" hidden="1" customHeight="1" x14ac:dyDescent="0.15">
      <c r="A90" s="569"/>
      <c r="B90" s="570"/>
      <c r="C90" s="570"/>
      <c r="D90" s="571"/>
      <c r="E90" s="572"/>
      <c r="F90" s="573"/>
      <c r="G90" s="942"/>
      <c r="H90" s="602"/>
      <c r="I90" s="574"/>
      <c r="J90" s="574"/>
      <c r="K90" s="955"/>
      <c r="L90" s="910" t="s">
        <v>680</v>
      </c>
      <c r="M90" s="910"/>
      <c r="N90" s="910" t="s">
        <v>1220</v>
      </c>
      <c r="O90" s="911">
        <f>'사. 임직원보수 일람표'!H84</f>
        <v>2036000</v>
      </c>
      <c r="P90" s="913" t="s">
        <v>724</v>
      </c>
      <c r="Q90" s="914">
        <v>1</v>
      </c>
      <c r="R90" s="913" t="s">
        <v>724</v>
      </c>
      <c r="S90" s="915">
        <f>'사. 임직원보수 일람표'!F84</f>
        <v>5</v>
      </c>
      <c r="T90" s="916" t="s">
        <v>345</v>
      </c>
      <c r="U90" s="917">
        <f t="shared" si="3"/>
        <v>10180000</v>
      </c>
      <c r="Y90" s="544"/>
      <c r="Z90" s="544"/>
      <c r="AA90" s="544"/>
      <c r="AE90" s="1054"/>
    </row>
    <row r="91" spans="1:31" ht="21.75" hidden="1" customHeight="1" x14ac:dyDescent="0.15">
      <c r="A91" s="569"/>
      <c r="B91" s="570"/>
      <c r="C91" s="570"/>
      <c r="D91" s="571"/>
      <c r="E91" s="572"/>
      <c r="F91" s="573"/>
      <c r="G91" s="942"/>
      <c r="H91" s="602"/>
      <c r="I91" s="574"/>
      <c r="J91" s="574"/>
      <c r="K91" s="955"/>
      <c r="L91" s="910" t="s">
        <v>680</v>
      </c>
      <c r="M91" s="910"/>
      <c r="N91" s="910" t="s">
        <v>1221</v>
      </c>
      <c r="O91" s="911">
        <f>'사. 임직원보수 일람표'!H85</f>
        <v>1978000</v>
      </c>
      <c r="P91" s="913" t="s">
        <v>724</v>
      </c>
      <c r="Q91" s="914">
        <v>1</v>
      </c>
      <c r="R91" s="913" t="s">
        <v>724</v>
      </c>
      <c r="S91" s="915">
        <f>'사. 임직원보수 일람표'!F85</f>
        <v>4</v>
      </c>
      <c r="T91" s="916" t="s">
        <v>345</v>
      </c>
      <c r="U91" s="917">
        <f t="shared" si="3"/>
        <v>7912000</v>
      </c>
      <c r="Y91" s="544"/>
      <c r="Z91" s="544"/>
      <c r="AA91" s="544"/>
      <c r="AE91" s="1054"/>
    </row>
    <row r="92" spans="1:31" ht="21.75" hidden="1" customHeight="1" x14ac:dyDescent="0.15">
      <c r="A92" s="569"/>
      <c r="B92" s="570"/>
      <c r="C92" s="570"/>
      <c r="D92" s="571"/>
      <c r="E92" s="572"/>
      <c r="F92" s="573"/>
      <c r="G92" s="942"/>
      <c r="H92" s="602"/>
      <c r="I92" s="574"/>
      <c r="J92" s="574"/>
      <c r="K92" s="955"/>
      <c r="L92" s="910" t="s">
        <v>680</v>
      </c>
      <c r="M92" s="910"/>
      <c r="N92" s="910" t="s">
        <v>1222</v>
      </c>
      <c r="O92" s="911">
        <f>'사. 임직원보수 일람표'!H86</f>
        <v>2036000</v>
      </c>
      <c r="P92" s="913" t="s">
        <v>724</v>
      </c>
      <c r="Q92" s="914">
        <v>1</v>
      </c>
      <c r="R92" s="913" t="s">
        <v>724</v>
      </c>
      <c r="S92" s="915">
        <f>'사. 임직원보수 일람표'!F86</f>
        <v>8</v>
      </c>
      <c r="T92" s="916" t="s">
        <v>345</v>
      </c>
      <c r="U92" s="917">
        <f t="shared" si="3"/>
        <v>16288000</v>
      </c>
      <c r="Y92" s="544"/>
      <c r="Z92" s="544"/>
      <c r="AA92" s="544"/>
      <c r="AE92" s="1054"/>
    </row>
    <row r="93" spans="1:31" ht="21.75" hidden="1" customHeight="1" x14ac:dyDescent="0.15">
      <c r="A93" s="569"/>
      <c r="B93" s="570"/>
      <c r="C93" s="570"/>
      <c r="D93" s="571"/>
      <c r="E93" s="572"/>
      <c r="F93" s="573"/>
      <c r="G93" s="942"/>
      <c r="H93" s="602"/>
      <c r="I93" s="574"/>
      <c r="J93" s="574"/>
      <c r="K93" s="955"/>
      <c r="L93" s="910" t="s">
        <v>680</v>
      </c>
      <c r="M93" s="910"/>
      <c r="N93" s="910" t="s">
        <v>1223</v>
      </c>
      <c r="O93" s="911">
        <f>'사. 임직원보수 일람표'!H87</f>
        <v>1978000</v>
      </c>
      <c r="P93" s="913" t="s">
        <v>724</v>
      </c>
      <c r="Q93" s="914">
        <v>1</v>
      </c>
      <c r="R93" s="913" t="s">
        <v>724</v>
      </c>
      <c r="S93" s="915">
        <f>'사. 임직원보수 일람표'!F87</f>
        <v>4</v>
      </c>
      <c r="T93" s="916" t="s">
        <v>345</v>
      </c>
      <c r="U93" s="917">
        <f t="shared" si="3"/>
        <v>7912000</v>
      </c>
      <c r="Y93" s="544"/>
      <c r="Z93" s="544"/>
      <c r="AA93" s="544"/>
      <c r="AE93" s="1054"/>
    </row>
    <row r="94" spans="1:31" ht="21.75" hidden="1" customHeight="1" x14ac:dyDescent="0.15">
      <c r="A94" s="569"/>
      <c r="B94" s="570"/>
      <c r="C94" s="570"/>
      <c r="D94" s="571"/>
      <c r="E94" s="572"/>
      <c r="F94" s="573"/>
      <c r="G94" s="942"/>
      <c r="H94" s="602"/>
      <c r="I94" s="574"/>
      <c r="J94" s="574"/>
      <c r="K94" s="955"/>
      <c r="L94" s="910" t="s">
        <v>680</v>
      </c>
      <c r="M94" s="910"/>
      <c r="N94" s="910" t="s">
        <v>1223</v>
      </c>
      <c r="O94" s="911">
        <f>'사. 임직원보수 일람표'!H88</f>
        <v>2036000</v>
      </c>
      <c r="P94" s="913" t="s">
        <v>724</v>
      </c>
      <c r="Q94" s="914">
        <v>1</v>
      </c>
      <c r="R94" s="913" t="s">
        <v>724</v>
      </c>
      <c r="S94" s="915">
        <f>'사. 임직원보수 일람표'!F88</f>
        <v>8</v>
      </c>
      <c r="T94" s="916" t="s">
        <v>345</v>
      </c>
      <c r="U94" s="917">
        <f t="shared" si="3"/>
        <v>16288000</v>
      </c>
      <c r="Y94" s="544"/>
      <c r="Z94" s="544"/>
      <c r="AA94" s="544"/>
      <c r="AE94" s="1054"/>
    </row>
    <row r="95" spans="1:31" ht="21.75" hidden="1" customHeight="1" x14ac:dyDescent="0.15">
      <c r="A95" s="569"/>
      <c r="B95" s="570"/>
      <c r="C95" s="570"/>
      <c r="D95" s="571"/>
      <c r="E95" s="572"/>
      <c r="F95" s="573"/>
      <c r="G95" s="942"/>
      <c r="H95" s="602"/>
      <c r="I95" s="574"/>
      <c r="J95" s="574"/>
      <c r="K95" s="955"/>
      <c r="L95" s="910" t="s">
        <v>680</v>
      </c>
      <c r="M95" s="910"/>
      <c r="N95" s="910" t="s">
        <v>1223</v>
      </c>
      <c r="O95" s="911">
        <f>'사. 임직원보수 일람표'!H89</f>
        <v>2396000</v>
      </c>
      <c r="P95" s="913" t="s">
        <v>724</v>
      </c>
      <c r="Q95" s="914">
        <v>1</v>
      </c>
      <c r="R95" s="913" t="s">
        <v>724</v>
      </c>
      <c r="S95" s="915">
        <f>'사. 임직원보수 일람표'!F89</f>
        <v>12</v>
      </c>
      <c r="T95" s="916" t="s">
        <v>345</v>
      </c>
      <c r="U95" s="917">
        <f t="shared" si="3"/>
        <v>28752000</v>
      </c>
      <c r="Y95" s="544"/>
      <c r="Z95" s="544"/>
      <c r="AA95" s="544"/>
      <c r="AE95" s="1054"/>
    </row>
    <row r="96" spans="1:31" ht="21.75" hidden="1" customHeight="1" x14ac:dyDescent="0.15">
      <c r="A96" s="569"/>
      <c r="B96" s="570"/>
      <c r="C96" s="570"/>
      <c r="D96" s="571"/>
      <c r="E96" s="572"/>
      <c r="F96" s="573"/>
      <c r="G96" s="942"/>
      <c r="H96" s="602"/>
      <c r="I96" s="574"/>
      <c r="J96" s="574"/>
      <c r="K96" s="955"/>
      <c r="L96" s="910" t="s">
        <v>680</v>
      </c>
      <c r="M96" s="910"/>
      <c r="N96" s="910" t="s">
        <v>1224</v>
      </c>
      <c r="O96" s="911">
        <f>'사. 임직원보수 일람표'!H90</f>
        <v>0</v>
      </c>
      <c r="P96" s="913" t="s">
        <v>724</v>
      </c>
      <c r="Q96" s="914">
        <v>1</v>
      </c>
      <c r="R96" s="913" t="s">
        <v>724</v>
      </c>
      <c r="S96" s="915">
        <f>'사. 임직원보수 일람표'!F90</f>
        <v>0</v>
      </c>
      <c r="T96" s="916" t="s">
        <v>345</v>
      </c>
      <c r="U96" s="917">
        <f t="shared" si="3"/>
        <v>0</v>
      </c>
      <c r="Y96" s="544"/>
      <c r="Z96" s="544"/>
      <c r="AA96" s="544"/>
      <c r="AE96" s="1054"/>
    </row>
    <row r="97" spans="1:31" ht="21.75" hidden="1" customHeight="1" x14ac:dyDescent="0.15">
      <c r="A97" s="569"/>
      <c r="B97" s="570"/>
      <c r="C97" s="570"/>
      <c r="D97" s="571"/>
      <c r="E97" s="572"/>
      <c r="F97" s="573"/>
      <c r="G97" s="942"/>
      <c r="H97" s="602"/>
      <c r="I97" s="574"/>
      <c r="J97" s="574"/>
      <c r="K97" s="955"/>
      <c r="L97" s="910" t="s">
        <v>680</v>
      </c>
      <c r="M97" s="910"/>
      <c r="N97" s="910" t="s">
        <v>1224</v>
      </c>
      <c r="O97" s="911">
        <f>'사. 임직원보수 일람표'!H91</f>
        <v>2036000</v>
      </c>
      <c r="P97" s="913" t="s">
        <v>724</v>
      </c>
      <c r="Q97" s="914">
        <v>1</v>
      </c>
      <c r="R97" s="913" t="s">
        <v>724</v>
      </c>
      <c r="S97" s="915">
        <f>'사. 임직원보수 일람표'!F91</f>
        <v>10</v>
      </c>
      <c r="T97" s="916" t="s">
        <v>345</v>
      </c>
      <c r="U97" s="917">
        <f t="shared" si="3"/>
        <v>20360000</v>
      </c>
      <c r="Y97" s="544"/>
      <c r="Z97" s="544"/>
      <c r="AA97" s="544"/>
      <c r="AE97" s="1054"/>
    </row>
    <row r="98" spans="1:31" ht="21.75" hidden="1" customHeight="1" x14ac:dyDescent="0.15">
      <c r="A98" s="569"/>
      <c r="B98" s="570"/>
      <c r="C98" s="570"/>
      <c r="D98" s="571"/>
      <c r="E98" s="572"/>
      <c r="F98" s="573"/>
      <c r="G98" s="942"/>
      <c r="H98" s="602"/>
      <c r="I98" s="574"/>
      <c r="J98" s="574"/>
      <c r="K98" s="955"/>
      <c r="L98" s="910" t="s">
        <v>680</v>
      </c>
      <c r="M98" s="910"/>
      <c r="N98" s="910" t="s">
        <v>1223</v>
      </c>
      <c r="O98" s="911">
        <f>'사. 임직원보수 일람표'!H92</f>
        <v>2099000</v>
      </c>
      <c r="P98" s="913" t="s">
        <v>724</v>
      </c>
      <c r="Q98" s="914">
        <v>1</v>
      </c>
      <c r="R98" s="913" t="s">
        <v>724</v>
      </c>
      <c r="S98" s="915">
        <f>'사. 임직원보수 일람표'!F92</f>
        <v>2</v>
      </c>
      <c r="T98" s="916" t="s">
        <v>345</v>
      </c>
      <c r="U98" s="917">
        <f>O98*Q98*S98</f>
        <v>4198000</v>
      </c>
      <c r="Y98" s="544"/>
      <c r="Z98" s="544"/>
      <c r="AA98" s="544"/>
      <c r="AE98" s="1054"/>
    </row>
    <row r="99" spans="1:31" ht="21.75" hidden="1" customHeight="1" x14ac:dyDescent="0.15">
      <c r="A99" s="569"/>
      <c r="B99" s="570"/>
      <c r="C99" s="570"/>
      <c r="D99" s="571"/>
      <c r="E99" s="572"/>
      <c r="F99" s="573"/>
      <c r="G99" s="942"/>
      <c r="H99" s="602"/>
      <c r="I99" s="574"/>
      <c r="J99" s="574"/>
      <c r="K99" s="955"/>
      <c r="L99" s="910" t="s">
        <v>706</v>
      </c>
      <c r="M99" s="910"/>
      <c r="N99" s="910" t="s">
        <v>707</v>
      </c>
      <c r="O99" s="911">
        <f>'사. 임직원보수 일람표'!H93</f>
        <v>2526000</v>
      </c>
      <c r="P99" s="913" t="s">
        <v>724</v>
      </c>
      <c r="Q99" s="914">
        <v>1</v>
      </c>
      <c r="R99" s="913" t="s">
        <v>724</v>
      </c>
      <c r="S99" s="915">
        <f>'사. 임직원보수 일람표'!F93</f>
        <v>8</v>
      </c>
      <c r="T99" s="916" t="s">
        <v>345</v>
      </c>
      <c r="U99" s="917">
        <f>'사. 임직원보수 일람표'!I93</f>
        <v>20208000</v>
      </c>
      <c r="Y99" s="544"/>
      <c r="Z99" s="544"/>
      <c r="AA99" s="544"/>
      <c r="AE99" s="1054"/>
    </row>
    <row r="100" spans="1:31" ht="21.75" hidden="1" customHeight="1" x14ac:dyDescent="0.15">
      <c r="A100" s="569"/>
      <c r="B100" s="570"/>
      <c r="C100" s="570"/>
      <c r="D100" s="571"/>
      <c r="E100" s="572"/>
      <c r="F100" s="573"/>
      <c r="G100" s="942"/>
      <c r="H100" s="602"/>
      <c r="I100" s="574"/>
      <c r="J100" s="574"/>
      <c r="K100" s="955"/>
      <c r="L100" s="910" t="s">
        <v>706</v>
      </c>
      <c r="M100" s="910"/>
      <c r="N100" s="910" t="s">
        <v>707</v>
      </c>
      <c r="O100" s="911">
        <f>'사. 임직원보수 일람표'!H94</f>
        <v>2570000</v>
      </c>
      <c r="P100" s="913" t="s">
        <v>724</v>
      </c>
      <c r="Q100" s="914">
        <v>1</v>
      </c>
      <c r="R100" s="913" t="s">
        <v>724</v>
      </c>
      <c r="S100" s="915">
        <f>'사. 임직원보수 일람표'!F94</f>
        <v>4</v>
      </c>
      <c r="T100" s="916" t="s">
        <v>345</v>
      </c>
      <c r="U100" s="917">
        <f>'사. 임직원보수 일람표'!I94</f>
        <v>10280000</v>
      </c>
      <c r="Y100" s="544"/>
      <c r="Z100" s="544"/>
      <c r="AA100" s="544"/>
      <c r="AE100" s="1054"/>
    </row>
    <row r="101" spans="1:31" ht="21.75" hidden="1" customHeight="1" x14ac:dyDescent="0.15">
      <c r="A101" s="569"/>
      <c r="B101" s="570"/>
      <c r="C101" s="570"/>
      <c r="D101" s="571"/>
      <c r="E101" s="572"/>
      <c r="F101" s="573"/>
      <c r="G101" s="942"/>
      <c r="H101" s="602"/>
      <c r="I101" s="574"/>
      <c r="J101" s="574"/>
      <c r="K101" s="955"/>
      <c r="L101" s="910" t="s">
        <v>708</v>
      </c>
      <c r="M101" s="910"/>
      <c r="N101" s="910" t="s">
        <v>1113</v>
      </c>
      <c r="O101" s="911">
        <f>'사. 임직원보수 일람표'!H95</f>
        <v>1970000</v>
      </c>
      <c r="P101" s="913" t="s">
        <v>724</v>
      </c>
      <c r="Q101" s="914">
        <v>1</v>
      </c>
      <c r="R101" s="913" t="s">
        <v>724</v>
      </c>
      <c r="S101" s="915">
        <f>'사. 임직원보수 일람표'!F95</f>
        <v>4</v>
      </c>
      <c r="T101" s="916" t="s">
        <v>345</v>
      </c>
      <c r="U101" s="917">
        <f>'사. 임직원보수 일람표'!I95</f>
        <v>7880000</v>
      </c>
      <c r="Y101" s="544"/>
      <c r="Z101" s="544"/>
      <c r="AA101" s="544"/>
      <c r="AE101" s="1054"/>
    </row>
    <row r="102" spans="1:31" ht="21.75" hidden="1" customHeight="1" x14ac:dyDescent="0.15">
      <c r="A102" s="569"/>
      <c r="B102" s="570"/>
      <c r="C102" s="570"/>
      <c r="D102" s="571"/>
      <c r="E102" s="572"/>
      <c r="F102" s="573"/>
      <c r="G102" s="942"/>
      <c r="H102" s="602"/>
      <c r="I102" s="574"/>
      <c r="J102" s="574"/>
      <c r="K102" s="955"/>
      <c r="L102" s="910" t="s">
        <v>708</v>
      </c>
      <c r="M102" s="910"/>
      <c r="N102" s="910" t="s">
        <v>1114</v>
      </c>
      <c r="O102" s="911">
        <f>'사. 임직원보수 일람표'!H96</f>
        <v>2015000</v>
      </c>
      <c r="P102" s="913" t="s">
        <v>724</v>
      </c>
      <c r="Q102" s="914">
        <v>1</v>
      </c>
      <c r="R102" s="913" t="s">
        <v>724</v>
      </c>
      <c r="S102" s="915">
        <f>'사. 임직원보수 일람표'!F96</f>
        <v>8</v>
      </c>
      <c r="T102" s="916" t="s">
        <v>345</v>
      </c>
      <c r="U102" s="917">
        <f>'사. 임직원보수 일람표'!I96</f>
        <v>16120000</v>
      </c>
      <c r="Y102" s="544"/>
      <c r="Z102" s="544"/>
      <c r="AA102" s="544"/>
      <c r="AE102" s="1054"/>
    </row>
    <row r="103" spans="1:31" ht="21.75" hidden="1" customHeight="1" x14ac:dyDescent="0.15">
      <c r="A103" s="569"/>
      <c r="B103" s="570"/>
      <c r="C103" s="570"/>
      <c r="D103" s="571"/>
      <c r="E103" s="572"/>
      <c r="F103" s="573"/>
      <c r="G103" s="942"/>
      <c r="H103" s="602"/>
      <c r="I103" s="574"/>
      <c r="J103" s="574"/>
      <c r="K103" s="955"/>
      <c r="L103" s="910" t="s">
        <v>708</v>
      </c>
      <c r="M103" s="910"/>
      <c r="N103" s="910" t="s">
        <v>709</v>
      </c>
      <c r="O103" s="911">
        <f>'사. 임직원보수 일람표'!H97</f>
        <v>2249000</v>
      </c>
      <c r="P103" s="913" t="s">
        <v>724</v>
      </c>
      <c r="Q103" s="914">
        <v>1</v>
      </c>
      <c r="R103" s="913" t="s">
        <v>724</v>
      </c>
      <c r="S103" s="915">
        <f>'사. 임직원보수 일람표'!F97</f>
        <v>2</v>
      </c>
      <c r="T103" s="916" t="s">
        <v>345</v>
      </c>
      <c r="U103" s="917">
        <f>'사. 임직원보수 일람표'!I97</f>
        <v>4498000</v>
      </c>
      <c r="Y103" s="544"/>
      <c r="Z103" s="544"/>
      <c r="AA103" s="544"/>
      <c r="AE103" s="1054"/>
    </row>
    <row r="104" spans="1:31" ht="21.75" hidden="1" customHeight="1" x14ac:dyDescent="0.15">
      <c r="A104" s="569"/>
      <c r="B104" s="570"/>
      <c r="C104" s="570"/>
      <c r="D104" s="571"/>
      <c r="E104" s="572"/>
      <c r="F104" s="573"/>
      <c r="G104" s="942"/>
      <c r="H104" s="602"/>
      <c r="I104" s="574"/>
      <c r="J104" s="574"/>
      <c r="K104" s="955"/>
      <c r="L104" s="910" t="s">
        <v>708</v>
      </c>
      <c r="M104" s="910"/>
      <c r="N104" s="910" t="s">
        <v>709</v>
      </c>
      <c r="O104" s="911">
        <f>'사. 임직원보수 일람표'!H98</f>
        <v>2312000</v>
      </c>
      <c r="P104" s="913" t="s">
        <v>724</v>
      </c>
      <c r="Q104" s="914">
        <v>1</v>
      </c>
      <c r="R104" s="913" t="s">
        <v>724</v>
      </c>
      <c r="S104" s="915">
        <f>'사. 임직원보수 일람표'!F98</f>
        <v>10</v>
      </c>
      <c r="T104" s="916" t="s">
        <v>345</v>
      </c>
      <c r="U104" s="917">
        <f>'사. 임직원보수 일람표'!I98</f>
        <v>23120000</v>
      </c>
      <c r="Y104" s="544"/>
      <c r="Z104" s="544"/>
      <c r="AA104" s="544"/>
      <c r="AE104" s="1054"/>
    </row>
    <row r="105" spans="1:31" ht="21.75" hidden="1" customHeight="1" x14ac:dyDescent="0.15">
      <c r="A105" s="569"/>
      <c r="B105" s="570"/>
      <c r="C105" s="570"/>
      <c r="D105" s="571"/>
      <c r="E105" s="572"/>
      <c r="F105" s="573"/>
      <c r="G105" s="942"/>
      <c r="H105" s="602"/>
      <c r="I105" s="574"/>
      <c r="J105" s="574"/>
      <c r="K105" s="955"/>
      <c r="L105" s="910" t="s">
        <v>708</v>
      </c>
      <c r="M105" s="910"/>
      <c r="N105" s="910" t="s">
        <v>710</v>
      </c>
      <c r="O105" s="911">
        <f>'사. 임직원보수 일람표'!H99</f>
        <v>1939000</v>
      </c>
      <c r="P105" s="913" t="s">
        <v>724</v>
      </c>
      <c r="Q105" s="914">
        <v>1</v>
      </c>
      <c r="R105" s="913" t="s">
        <v>724</v>
      </c>
      <c r="S105" s="915">
        <f>'사. 임직원보수 일람표'!F99</f>
        <v>6</v>
      </c>
      <c r="T105" s="916" t="s">
        <v>345</v>
      </c>
      <c r="U105" s="917">
        <f>'사. 임직원보수 일람표'!I99</f>
        <v>11634000</v>
      </c>
      <c r="Y105" s="544"/>
      <c r="Z105" s="544"/>
      <c r="AA105" s="544"/>
      <c r="AE105" s="1054"/>
    </row>
    <row r="106" spans="1:31" ht="21.75" hidden="1" customHeight="1" x14ac:dyDescent="0.15">
      <c r="A106" s="569"/>
      <c r="B106" s="570"/>
      <c r="C106" s="570"/>
      <c r="D106" s="571"/>
      <c r="E106" s="572"/>
      <c r="F106" s="573"/>
      <c r="G106" s="942"/>
      <c r="H106" s="602"/>
      <c r="I106" s="574"/>
      <c r="J106" s="574"/>
      <c r="K106" s="955"/>
      <c r="L106" s="910" t="s">
        <v>708</v>
      </c>
      <c r="M106" s="910"/>
      <c r="N106" s="910" t="s">
        <v>710</v>
      </c>
      <c r="O106" s="911">
        <f>'사. 임직원보수 일람표'!H100</f>
        <v>1970000</v>
      </c>
      <c r="P106" s="913" t="s">
        <v>724</v>
      </c>
      <c r="Q106" s="914">
        <v>1</v>
      </c>
      <c r="R106" s="913" t="s">
        <v>724</v>
      </c>
      <c r="S106" s="915">
        <f>'사. 임직원보수 일람표'!F100</f>
        <v>6</v>
      </c>
      <c r="T106" s="916" t="s">
        <v>345</v>
      </c>
      <c r="U106" s="917">
        <f>'사. 임직원보수 일람표'!I100</f>
        <v>11820000</v>
      </c>
      <c r="Y106" s="544"/>
      <c r="Z106" s="544"/>
      <c r="AA106" s="544"/>
      <c r="AE106" s="1054"/>
    </row>
    <row r="107" spans="1:31" ht="21.75" hidden="1" customHeight="1" x14ac:dyDescent="0.15">
      <c r="A107" s="569"/>
      <c r="B107" s="570"/>
      <c r="C107" s="570"/>
      <c r="D107" s="571"/>
      <c r="E107" s="572"/>
      <c r="F107" s="573"/>
      <c r="G107" s="942"/>
      <c r="H107" s="602"/>
      <c r="I107" s="574"/>
      <c r="J107" s="574"/>
      <c r="K107" s="955"/>
      <c r="L107" s="910" t="s">
        <v>711</v>
      </c>
      <c r="M107" s="910"/>
      <c r="N107" s="910" t="s">
        <v>712</v>
      </c>
      <c r="O107" s="911">
        <f>'사. 임직원보수 일람표'!H101</f>
        <v>2595000</v>
      </c>
      <c r="P107" s="913" t="s">
        <v>724</v>
      </c>
      <c r="Q107" s="914">
        <v>1</v>
      </c>
      <c r="R107" s="913" t="s">
        <v>724</v>
      </c>
      <c r="S107" s="915">
        <f>'사. 임직원보수 일람표'!F101</f>
        <v>12</v>
      </c>
      <c r="T107" s="916" t="s">
        <v>345</v>
      </c>
      <c r="U107" s="917">
        <f>'사. 임직원보수 일람표'!I101</f>
        <v>31140000</v>
      </c>
      <c r="V107" s="544">
        <f>SUM(U11:U107)</f>
        <v>1559676000</v>
      </c>
      <c r="W107" s="544">
        <f>V107-'사. 임직원보수 일람표'!I103</f>
        <v>0</v>
      </c>
      <c r="Y107" s="544"/>
      <c r="Z107" s="544"/>
      <c r="AA107" s="544"/>
      <c r="AE107" s="1054"/>
    </row>
    <row r="108" spans="1:31" ht="21.75" hidden="1" customHeight="1" x14ac:dyDescent="0.15">
      <c r="A108" s="569"/>
      <c r="B108" s="570"/>
      <c r="C108" s="570"/>
      <c r="D108" s="571"/>
      <c r="E108" s="572"/>
      <c r="F108" s="573"/>
      <c r="G108" s="942"/>
      <c r="H108" s="602"/>
      <c r="I108" s="574"/>
      <c r="J108" s="574"/>
      <c r="K108" s="955"/>
      <c r="L108" s="910" t="s">
        <v>680</v>
      </c>
      <c r="M108" s="912" t="s">
        <v>725</v>
      </c>
      <c r="N108" s="910" t="s">
        <v>713</v>
      </c>
      <c r="O108" s="911">
        <f>'사. 임직원보수 일람표'!H110</f>
        <v>2478000</v>
      </c>
      <c r="P108" s="913" t="s">
        <v>724</v>
      </c>
      <c r="Q108" s="914">
        <v>1</v>
      </c>
      <c r="R108" s="913" t="s">
        <v>724</v>
      </c>
      <c r="S108" s="915">
        <f>'사. 임직원보수 일람표'!F110</f>
        <v>1</v>
      </c>
      <c r="T108" s="916" t="s">
        <v>345</v>
      </c>
      <c r="U108" s="917">
        <f t="shared" ref="U108:U120" si="4">O108*Q108*S108</f>
        <v>2478000</v>
      </c>
      <c r="Y108" s="544"/>
      <c r="Z108" s="544"/>
      <c r="AA108" s="544"/>
      <c r="AE108" s="1054"/>
    </row>
    <row r="109" spans="1:31" ht="21.75" hidden="1" customHeight="1" x14ac:dyDescent="0.15">
      <c r="A109" s="569"/>
      <c r="B109" s="570"/>
      <c r="C109" s="570"/>
      <c r="D109" s="571"/>
      <c r="E109" s="572"/>
      <c r="F109" s="573"/>
      <c r="G109" s="942"/>
      <c r="H109" s="602"/>
      <c r="I109" s="574"/>
      <c r="J109" s="574"/>
      <c r="K109" s="955"/>
      <c r="L109" s="910" t="s">
        <v>680</v>
      </c>
      <c r="M109" s="912" t="s">
        <v>725</v>
      </c>
      <c r="N109" s="910" t="s">
        <v>713</v>
      </c>
      <c r="O109" s="911">
        <f>'사. 임직원보수 일람표'!H111</f>
        <v>2555000</v>
      </c>
      <c r="P109" s="913" t="s">
        <v>724</v>
      </c>
      <c r="Q109" s="914">
        <v>1</v>
      </c>
      <c r="R109" s="913" t="s">
        <v>724</v>
      </c>
      <c r="S109" s="915">
        <f>'사. 임직원보수 일람표'!F111</f>
        <v>11</v>
      </c>
      <c r="T109" s="916" t="s">
        <v>345</v>
      </c>
      <c r="U109" s="917">
        <f t="shared" si="4"/>
        <v>28105000</v>
      </c>
      <c r="Y109" s="544"/>
      <c r="Z109" s="544"/>
      <c r="AA109" s="544"/>
      <c r="AE109" s="1054"/>
    </row>
    <row r="110" spans="1:31" ht="21.75" hidden="1" customHeight="1" x14ac:dyDescent="0.15">
      <c r="A110" s="569"/>
      <c r="B110" s="570"/>
      <c r="C110" s="570"/>
      <c r="D110" s="571"/>
      <c r="E110" s="572"/>
      <c r="F110" s="573"/>
      <c r="G110" s="942"/>
      <c r="H110" s="602"/>
      <c r="I110" s="574"/>
      <c r="J110" s="574"/>
      <c r="K110" s="955"/>
      <c r="L110" s="910" t="s">
        <v>708</v>
      </c>
      <c r="M110" s="912" t="s">
        <v>725</v>
      </c>
      <c r="N110" s="910" t="s">
        <v>714</v>
      </c>
      <c r="O110" s="911">
        <f>'사. 임직원보수 일람표'!H112</f>
        <v>2151000</v>
      </c>
      <c r="P110" s="913" t="s">
        <v>724</v>
      </c>
      <c r="Q110" s="914">
        <v>1</v>
      </c>
      <c r="R110" s="913" t="s">
        <v>724</v>
      </c>
      <c r="S110" s="915">
        <f>'사. 임직원보수 일람표'!F112</f>
        <v>2</v>
      </c>
      <c r="T110" s="916" t="s">
        <v>345</v>
      </c>
      <c r="U110" s="917">
        <f t="shared" si="4"/>
        <v>4302000</v>
      </c>
      <c r="Y110" s="544"/>
      <c r="Z110" s="544"/>
      <c r="AA110" s="544"/>
      <c r="AE110" s="1054"/>
    </row>
    <row r="111" spans="1:31" ht="21.75" hidden="1" customHeight="1" x14ac:dyDescent="0.15">
      <c r="A111" s="569"/>
      <c r="B111" s="570"/>
      <c r="C111" s="570"/>
      <c r="D111" s="571"/>
      <c r="E111" s="572"/>
      <c r="F111" s="573"/>
      <c r="G111" s="942"/>
      <c r="H111" s="602"/>
      <c r="I111" s="574"/>
      <c r="J111" s="574"/>
      <c r="K111" s="955"/>
      <c r="L111" s="910" t="s">
        <v>708</v>
      </c>
      <c r="M111" s="912" t="s">
        <v>725</v>
      </c>
      <c r="N111" s="910" t="s">
        <v>714</v>
      </c>
      <c r="O111" s="911">
        <f>'사. 임직원보수 일람표'!H113</f>
        <v>2184000</v>
      </c>
      <c r="P111" s="913" t="s">
        <v>724</v>
      </c>
      <c r="Q111" s="914">
        <v>1</v>
      </c>
      <c r="R111" s="913" t="s">
        <v>724</v>
      </c>
      <c r="S111" s="915">
        <f>'사. 임직원보수 일람표'!F113</f>
        <v>10</v>
      </c>
      <c r="T111" s="916" t="s">
        <v>345</v>
      </c>
      <c r="U111" s="917">
        <f t="shared" si="4"/>
        <v>21840000</v>
      </c>
      <c r="Y111" s="544"/>
      <c r="Z111" s="544"/>
      <c r="AA111" s="544"/>
      <c r="AE111" s="1054"/>
    </row>
    <row r="112" spans="1:31" ht="21.75" hidden="1" customHeight="1" x14ac:dyDescent="0.15">
      <c r="A112" s="569"/>
      <c r="B112" s="570"/>
      <c r="C112" s="570"/>
      <c r="D112" s="571"/>
      <c r="E112" s="572"/>
      <c r="F112" s="573"/>
      <c r="G112" s="942"/>
      <c r="H112" s="602"/>
      <c r="I112" s="574"/>
      <c r="J112" s="574"/>
      <c r="K112" s="955"/>
      <c r="L112" s="910" t="s">
        <v>715</v>
      </c>
      <c r="M112" s="912" t="s">
        <v>725</v>
      </c>
      <c r="N112" s="910" t="s">
        <v>1242</v>
      </c>
      <c r="O112" s="911">
        <f>'사. 임직원보수 일람표'!H114</f>
        <v>1924000</v>
      </c>
      <c r="P112" s="913" t="s">
        <v>724</v>
      </c>
      <c r="Q112" s="914">
        <v>1</v>
      </c>
      <c r="R112" s="913" t="s">
        <v>724</v>
      </c>
      <c r="S112" s="915">
        <f>'사. 임직원보수 일람표'!F114</f>
        <v>2</v>
      </c>
      <c r="T112" s="916" t="s">
        <v>345</v>
      </c>
      <c r="U112" s="917">
        <f t="shared" si="4"/>
        <v>3848000</v>
      </c>
      <c r="Y112" s="544"/>
      <c r="Z112" s="544"/>
      <c r="AA112" s="544"/>
      <c r="AE112" s="1054"/>
    </row>
    <row r="113" spans="1:31" ht="21.75" hidden="1" customHeight="1" x14ac:dyDescent="0.15">
      <c r="A113" s="569"/>
      <c r="B113" s="570"/>
      <c r="C113" s="570"/>
      <c r="D113" s="571"/>
      <c r="E113" s="572"/>
      <c r="F113" s="573"/>
      <c r="G113" s="942"/>
      <c r="H113" s="602"/>
      <c r="I113" s="574"/>
      <c r="J113" s="574"/>
      <c r="K113" s="955"/>
      <c r="L113" s="910" t="s">
        <v>715</v>
      </c>
      <c r="M113" s="912" t="s">
        <v>725</v>
      </c>
      <c r="N113" s="910" t="s">
        <v>1243</v>
      </c>
      <c r="O113" s="911">
        <f>'사. 임직원보수 일람표'!H115</f>
        <v>1941000</v>
      </c>
      <c r="P113" s="913" t="s">
        <v>724</v>
      </c>
      <c r="Q113" s="914">
        <v>1</v>
      </c>
      <c r="R113" s="913" t="s">
        <v>724</v>
      </c>
      <c r="S113" s="915">
        <f>'사. 임직원보수 일람표'!F115</f>
        <v>10</v>
      </c>
      <c r="T113" s="916" t="s">
        <v>345</v>
      </c>
      <c r="U113" s="917">
        <f t="shared" si="4"/>
        <v>19410000</v>
      </c>
      <c r="V113" s="544">
        <f>SUM(U108:U113)</f>
        <v>79983000</v>
      </c>
      <c r="W113" s="544">
        <f>V113-'사. 임직원보수 일람표'!I116</f>
        <v>0</v>
      </c>
      <c r="Y113" s="544"/>
      <c r="Z113" s="544"/>
      <c r="AA113" s="544"/>
      <c r="AE113" s="1054"/>
    </row>
    <row r="114" spans="1:31" ht="21.75" hidden="1" customHeight="1" x14ac:dyDescent="0.15">
      <c r="A114" s="569"/>
      <c r="B114" s="570"/>
      <c r="C114" s="570"/>
      <c r="D114" s="571"/>
      <c r="E114" s="572"/>
      <c r="F114" s="573"/>
      <c r="G114" s="942"/>
      <c r="H114" s="602"/>
      <c r="I114" s="574"/>
      <c r="J114" s="574"/>
      <c r="K114" s="955"/>
      <c r="L114" s="910" t="s">
        <v>680</v>
      </c>
      <c r="M114" s="912" t="s">
        <v>726</v>
      </c>
      <c r="N114" s="910" t="s">
        <v>981</v>
      </c>
      <c r="O114" s="911">
        <f>'사. 임직원보수 일람표'!H123</f>
        <v>2036000</v>
      </c>
      <c r="P114" s="913" t="s">
        <v>724</v>
      </c>
      <c r="Q114" s="914">
        <v>1</v>
      </c>
      <c r="R114" s="913" t="s">
        <v>724</v>
      </c>
      <c r="S114" s="915">
        <f>'사. 임직원보수 일람표'!F123</f>
        <v>12</v>
      </c>
      <c r="T114" s="916" t="s">
        <v>345</v>
      </c>
      <c r="U114" s="917">
        <f t="shared" si="4"/>
        <v>24432000</v>
      </c>
      <c r="Y114" s="544"/>
      <c r="Z114" s="544"/>
      <c r="AA114" s="544"/>
      <c r="AE114" s="1054"/>
    </row>
    <row r="115" spans="1:31" ht="21.75" hidden="1" customHeight="1" x14ac:dyDescent="0.15">
      <c r="A115" s="569"/>
      <c r="B115" s="570"/>
      <c r="C115" s="570"/>
      <c r="D115" s="571"/>
      <c r="E115" s="572"/>
      <c r="F115" s="573"/>
      <c r="G115" s="942"/>
      <c r="H115" s="602"/>
      <c r="I115" s="574"/>
      <c r="J115" s="574"/>
      <c r="K115" s="955"/>
      <c r="L115" s="910" t="s">
        <v>680</v>
      </c>
      <c r="M115" s="912" t="s">
        <v>726</v>
      </c>
      <c r="N115" s="910" t="s">
        <v>671</v>
      </c>
      <c r="O115" s="911">
        <f>'사. 임직원보수 일람표'!H124</f>
        <v>0</v>
      </c>
      <c r="P115" s="913" t="s">
        <v>724</v>
      </c>
      <c r="Q115" s="914">
        <v>1</v>
      </c>
      <c r="R115" s="913" t="s">
        <v>724</v>
      </c>
      <c r="S115" s="915">
        <f>'사. 임직원보수 일람표'!F124</f>
        <v>0</v>
      </c>
      <c r="T115" s="916" t="s">
        <v>345</v>
      </c>
      <c r="U115" s="917">
        <f t="shared" si="4"/>
        <v>0</v>
      </c>
      <c r="Y115" s="544"/>
      <c r="Z115" s="544"/>
      <c r="AA115" s="544"/>
      <c r="AE115" s="1054"/>
    </row>
    <row r="116" spans="1:31" ht="21.75" hidden="1" customHeight="1" x14ac:dyDescent="0.15">
      <c r="A116" s="569"/>
      <c r="B116" s="570"/>
      <c r="C116" s="570"/>
      <c r="D116" s="571"/>
      <c r="E116" s="572"/>
      <c r="F116" s="573"/>
      <c r="G116" s="942"/>
      <c r="H116" s="602"/>
      <c r="I116" s="574"/>
      <c r="J116" s="574"/>
      <c r="K116" s="955"/>
      <c r="L116" s="910" t="s">
        <v>680</v>
      </c>
      <c r="M116" s="912" t="s">
        <v>726</v>
      </c>
      <c r="N116" s="910" t="s">
        <v>716</v>
      </c>
      <c r="O116" s="911">
        <f>'사. 임직원보수 일람표'!H125</f>
        <v>2099000</v>
      </c>
      <c r="P116" s="913" t="s">
        <v>724</v>
      </c>
      <c r="Q116" s="914">
        <v>1</v>
      </c>
      <c r="R116" s="913" t="s">
        <v>724</v>
      </c>
      <c r="S116" s="915">
        <f>'사. 임직원보수 일람표'!F125</f>
        <v>9</v>
      </c>
      <c r="T116" s="916" t="s">
        <v>345</v>
      </c>
      <c r="U116" s="917">
        <f t="shared" si="4"/>
        <v>18891000</v>
      </c>
      <c r="Y116" s="544"/>
      <c r="Z116" s="544"/>
      <c r="AA116" s="544"/>
      <c r="AE116" s="1054"/>
    </row>
    <row r="117" spans="1:31" ht="21.75" hidden="1" customHeight="1" x14ac:dyDescent="0.15">
      <c r="A117" s="569"/>
      <c r="B117" s="570"/>
      <c r="C117" s="570"/>
      <c r="D117" s="571"/>
      <c r="E117" s="572"/>
      <c r="F117" s="573"/>
      <c r="G117" s="942"/>
      <c r="H117" s="602"/>
      <c r="I117" s="574"/>
      <c r="J117" s="574"/>
      <c r="K117" s="955"/>
      <c r="L117" s="910" t="s">
        <v>680</v>
      </c>
      <c r="M117" s="912" t="s">
        <v>726</v>
      </c>
      <c r="N117" s="910" t="s">
        <v>716</v>
      </c>
      <c r="O117" s="911">
        <f>'사. 임직원보수 일람표'!H126</f>
        <v>2164000</v>
      </c>
      <c r="P117" s="913" t="s">
        <v>724</v>
      </c>
      <c r="Q117" s="914">
        <v>1</v>
      </c>
      <c r="R117" s="913" t="s">
        <v>724</v>
      </c>
      <c r="S117" s="915">
        <f>'사. 임직원보수 일람표'!F126</f>
        <v>3</v>
      </c>
      <c r="T117" s="916" t="s">
        <v>345</v>
      </c>
      <c r="U117" s="917">
        <f t="shared" si="4"/>
        <v>6492000</v>
      </c>
      <c r="Y117" s="544"/>
      <c r="Z117" s="544"/>
      <c r="AA117" s="544"/>
      <c r="AE117" s="1054"/>
    </row>
    <row r="118" spans="1:31" ht="21.75" hidden="1" customHeight="1" x14ac:dyDescent="0.15">
      <c r="A118" s="569"/>
      <c r="B118" s="570"/>
      <c r="C118" s="570"/>
      <c r="D118" s="571"/>
      <c r="E118" s="572"/>
      <c r="F118" s="573"/>
      <c r="G118" s="942"/>
      <c r="H118" s="602"/>
      <c r="I118" s="574"/>
      <c r="J118" s="574"/>
      <c r="K118" s="955"/>
      <c r="L118" s="910" t="s">
        <v>680</v>
      </c>
      <c r="M118" s="912" t="s">
        <v>726</v>
      </c>
      <c r="N118" s="910" t="s">
        <v>717</v>
      </c>
      <c r="O118" s="911">
        <f>'사. 임직원보수 일람표'!H127</f>
        <v>2036000</v>
      </c>
      <c r="P118" s="913" t="s">
        <v>724</v>
      </c>
      <c r="Q118" s="914">
        <v>1</v>
      </c>
      <c r="R118" s="913" t="s">
        <v>724</v>
      </c>
      <c r="S118" s="915">
        <f>'사. 임직원보수 일람표'!F127</f>
        <v>12</v>
      </c>
      <c r="T118" s="916" t="s">
        <v>345</v>
      </c>
      <c r="U118" s="917">
        <f t="shared" si="4"/>
        <v>24432000</v>
      </c>
      <c r="Y118" s="544"/>
      <c r="Z118" s="544"/>
      <c r="AA118" s="544"/>
      <c r="AE118" s="1054"/>
    </row>
    <row r="119" spans="1:31" ht="21.75" hidden="1" customHeight="1" x14ac:dyDescent="0.15">
      <c r="A119" s="569"/>
      <c r="B119" s="570"/>
      <c r="C119" s="570"/>
      <c r="D119" s="571"/>
      <c r="E119" s="572"/>
      <c r="F119" s="573"/>
      <c r="G119" s="942"/>
      <c r="H119" s="602"/>
      <c r="I119" s="574"/>
      <c r="J119" s="574"/>
      <c r="K119" s="955"/>
      <c r="L119" s="910" t="s">
        <v>680</v>
      </c>
      <c r="M119" s="912" t="s">
        <v>726</v>
      </c>
      <c r="N119" s="910" t="s">
        <v>717</v>
      </c>
      <c r="O119" s="911">
        <f>'사. 임직원보수 일람표'!H128</f>
        <v>0</v>
      </c>
      <c r="P119" s="913" t="s">
        <v>724</v>
      </c>
      <c r="Q119" s="914">
        <v>1</v>
      </c>
      <c r="R119" s="913" t="s">
        <v>724</v>
      </c>
      <c r="S119" s="915">
        <f>'사. 임직원보수 일람표'!F128</f>
        <v>0</v>
      </c>
      <c r="T119" s="916" t="s">
        <v>345</v>
      </c>
      <c r="U119" s="917">
        <f t="shared" si="4"/>
        <v>0</v>
      </c>
      <c r="Y119" s="544"/>
      <c r="Z119" s="544"/>
      <c r="AA119" s="544"/>
      <c r="AE119" s="1054"/>
    </row>
    <row r="120" spans="1:31" ht="21.75" hidden="1" customHeight="1" x14ac:dyDescent="0.15">
      <c r="A120" s="569"/>
      <c r="B120" s="570"/>
      <c r="C120" s="570"/>
      <c r="D120" s="571"/>
      <c r="E120" s="572"/>
      <c r="F120" s="573"/>
      <c r="G120" s="942"/>
      <c r="H120" s="602"/>
      <c r="I120" s="574"/>
      <c r="J120" s="574"/>
      <c r="K120" s="955"/>
      <c r="L120" s="910" t="s">
        <v>680</v>
      </c>
      <c r="M120" s="912" t="s">
        <v>726</v>
      </c>
      <c r="N120" s="910" t="s">
        <v>718</v>
      </c>
      <c r="O120" s="911">
        <f>'사. 임직원보수 일람표'!H129</f>
        <v>2036000</v>
      </c>
      <c r="P120" s="913" t="s">
        <v>724</v>
      </c>
      <c r="Q120" s="914">
        <v>1</v>
      </c>
      <c r="R120" s="913" t="s">
        <v>724</v>
      </c>
      <c r="S120" s="915">
        <f>'사. 임직원보수 일람표'!F129</f>
        <v>12</v>
      </c>
      <c r="T120" s="916" t="s">
        <v>345</v>
      </c>
      <c r="U120" s="917">
        <f t="shared" si="4"/>
        <v>24432000</v>
      </c>
      <c r="Y120" s="544"/>
      <c r="Z120" s="544"/>
      <c r="AA120" s="544"/>
      <c r="AE120" s="1054"/>
    </row>
    <row r="121" spans="1:31" ht="21.75" hidden="1" customHeight="1" x14ac:dyDescent="0.15">
      <c r="A121" s="569"/>
      <c r="B121" s="570"/>
      <c r="C121" s="570"/>
      <c r="D121" s="571"/>
      <c r="E121" s="572"/>
      <c r="F121" s="573"/>
      <c r="G121" s="942"/>
      <c r="H121" s="602"/>
      <c r="I121" s="574"/>
      <c r="J121" s="574"/>
      <c r="K121" s="955"/>
      <c r="L121" s="910" t="s">
        <v>680</v>
      </c>
      <c r="M121" s="912" t="s">
        <v>726</v>
      </c>
      <c r="N121" s="910" t="s">
        <v>718</v>
      </c>
      <c r="O121" s="911">
        <f>'사. 임직원보수 일람표'!H130</f>
        <v>0</v>
      </c>
      <c r="P121" s="913" t="s">
        <v>724</v>
      </c>
      <c r="Q121" s="914">
        <v>1</v>
      </c>
      <c r="R121" s="913" t="s">
        <v>724</v>
      </c>
      <c r="S121" s="915">
        <f>'사. 임직원보수 일람표'!F130</f>
        <v>0</v>
      </c>
      <c r="T121" s="916" t="s">
        <v>345</v>
      </c>
      <c r="U121" s="917">
        <f t="shared" ref="U121:U141" si="5">O121*Q121*S121</f>
        <v>0</v>
      </c>
      <c r="Y121" s="544"/>
      <c r="Z121" s="544"/>
      <c r="AA121" s="544"/>
      <c r="AE121" s="1054"/>
    </row>
    <row r="122" spans="1:31" ht="21.75" hidden="1" customHeight="1" x14ac:dyDescent="0.15">
      <c r="A122" s="569"/>
      <c r="B122" s="570"/>
      <c r="C122" s="570"/>
      <c r="D122" s="571"/>
      <c r="E122" s="572"/>
      <c r="F122" s="573"/>
      <c r="G122" s="942"/>
      <c r="H122" s="602"/>
      <c r="I122" s="574"/>
      <c r="J122" s="574"/>
      <c r="K122" s="955"/>
      <c r="L122" s="910" t="s">
        <v>680</v>
      </c>
      <c r="M122" s="912" t="s">
        <v>726</v>
      </c>
      <c r="N122" s="910" t="s">
        <v>719</v>
      </c>
      <c r="O122" s="911">
        <f>'사. 임직원보수 일람표'!H131</f>
        <v>2099000</v>
      </c>
      <c r="P122" s="913" t="s">
        <v>724</v>
      </c>
      <c r="Q122" s="914">
        <v>1</v>
      </c>
      <c r="R122" s="913" t="s">
        <v>724</v>
      </c>
      <c r="S122" s="915">
        <f>'사. 임직원보수 일람표'!F131</f>
        <v>5</v>
      </c>
      <c r="T122" s="916" t="s">
        <v>345</v>
      </c>
      <c r="U122" s="917">
        <f t="shared" si="5"/>
        <v>10495000</v>
      </c>
      <c r="Y122" s="544"/>
      <c r="Z122" s="544"/>
      <c r="AA122" s="544"/>
      <c r="AE122" s="1054"/>
    </row>
    <row r="123" spans="1:31" ht="21.75" hidden="1" customHeight="1" x14ac:dyDescent="0.15">
      <c r="A123" s="569"/>
      <c r="B123" s="570"/>
      <c r="C123" s="570"/>
      <c r="D123" s="571"/>
      <c r="E123" s="572"/>
      <c r="F123" s="573"/>
      <c r="G123" s="942"/>
      <c r="H123" s="602"/>
      <c r="I123" s="574"/>
      <c r="J123" s="574"/>
      <c r="K123" s="955"/>
      <c r="L123" s="910" t="s">
        <v>680</v>
      </c>
      <c r="M123" s="912" t="s">
        <v>726</v>
      </c>
      <c r="N123" s="910" t="s">
        <v>719</v>
      </c>
      <c r="O123" s="911">
        <f>'사. 임직원보수 일람표'!H132</f>
        <v>2164000</v>
      </c>
      <c r="P123" s="913" t="s">
        <v>724</v>
      </c>
      <c r="Q123" s="914">
        <v>1</v>
      </c>
      <c r="R123" s="913" t="s">
        <v>724</v>
      </c>
      <c r="S123" s="915">
        <f>'사. 임직원보수 일람표'!F132</f>
        <v>7</v>
      </c>
      <c r="T123" s="916" t="s">
        <v>345</v>
      </c>
      <c r="U123" s="917">
        <f>O123*Q123*S123</f>
        <v>15148000</v>
      </c>
      <c r="Y123" s="544"/>
      <c r="Z123" s="544"/>
      <c r="AA123" s="544"/>
      <c r="AE123" s="1054"/>
    </row>
    <row r="124" spans="1:31" ht="21.75" hidden="1" customHeight="1" x14ac:dyDescent="0.15">
      <c r="A124" s="569"/>
      <c r="B124" s="570"/>
      <c r="C124" s="570"/>
      <c r="D124" s="571"/>
      <c r="E124" s="572"/>
      <c r="F124" s="573"/>
      <c r="G124" s="942"/>
      <c r="H124" s="602"/>
      <c r="I124" s="574"/>
      <c r="J124" s="574"/>
      <c r="K124" s="955"/>
      <c r="L124" s="910" t="s">
        <v>680</v>
      </c>
      <c r="M124" s="912" t="s">
        <v>726</v>
      </c>
      <c r="N124" s="910" t="s">
        <v>720</v>
      </c>
      <c r="O124" s="911">
        <f>'사. 임직원보수 일람표'!H133</f>
        <v>2099000</v>
      </c>
      <c r="P124" s="913" t="s">
        <v>724</v>
      </c>
      <c r="Q124" s="914">
        <v>1</v>
      </c>
      <c r="R124" s="913" t="s">
        <v>724</v>
      </c>
      <c r="S124" s="915">
        <f>'사. 임직원보수 일람표'!F133</f>
        <v>6</v>
      </c>
      <c r="T124" s="916" t="s">
        <v>345</v>
      </c>
      <c r="U124" s="917">
        <f t="shared" si="5"/>
        <v>12594000</v>
      </c>
      <c r="Y124" s="544"/>
      <c r="Z124" s="544"/>
      <c r="AA124" s="544"/>
      <c r="AE124" s="1054"/>
    </row>
    <row r="125" spans="1:31" ht="21.75" hidden="1" customHeight="1" x14ac:dyDescent="0.15">
      <c r="A125" s="569"/>
      <c r="B125" s="570"/>
      <c r="C125" s="570"/>
      <c r="D125" s="571"/>
      <c r="E125" s="572"/>
      <c r="F125" s="573"/>
      <c r="G125" s="942"/>
      <c r="H125" s="602"/>
      <c r="I125" s="574"/>
      <c r="J125" s="574"/>
      <c r="K125" s="955"/>
      <c r="L125" s="910" t="s">
        <v>680</v>
      </c>
      <c r="M125" s="912" t="s">
        <v>726</v>
      </c>
      <c r="N125" s="910" t="s">
        <v>720</v>
      </c>
      <c r="O125" s="911">
        <f>'사. 임직원보수 일람표'!H134</f>
        <v>2164000</v>
      </c>
      <c r="P125" s="913" t="s">
        <v>724</v>
      </c>
      <c r="Q125" s="914">
        <v>1</v>
      </c>
      <c r="R125" s="913" t="s">
        <v>724</v>
      </c>
      <c r="S125" s="915">
        <f>'사. 임직원보수 일람표'!F134</f>
        <v>6</v>
      </c>
      <c r="T125" s="916" t="s">
        <v>345</v>
      </c>
      <c r="U125" s="917">
        <f t="shared" si="5"/>
        <v>12984000</v>
      </c>
      <c r="Y125" s="544"/>
      <c r="Z125" s="544"/>
      <c r="AA125" s="544"/>
      <c r="AE125" s="1054"/>
    </row>
    <row r="126" spans="1:31" ht="21.75" hidden="1" customHeight="1" x14ac:dyDescent="0.15">
      <c r="A126" s="569"/>
      <c r="B126" s="570"/>
      <c r="C126" s="570"/>
      <c r="D126" s="571"/>
      <c r="E126" s="572"/>
      <c r="F126" s="573"/>
      <c r="G126" s="942"/>
      <c r="H126" s="602"/>
      <c r="I126" s="574"/>
      <c r="J126" s="574"/>
      <c r="K126" s="955"/>
      <c r="L126" s="910" t="s">
        <v>680</v>
      </c>
      <c r="M126" s="912" t="s">
        <v>726</v>
      </c>
      <c r="N126" s="910" t="s">
        <v>721</v>
      </c>
      <c r="O126" s="911">
        <f>'사. 임직원보수 일람표'!H135</f>
        <v>1978000</v>
      </c>
      <c r="P126" s="913" t="s">
        <v>724</v>
      </c>
      <c r="Q126" s="914">
        <v>1</v>
      </c>
      <c r="R126" s="913" t="s">
        <v>724</v>
      </c>
      <c r="S126" s="915">
        <f>'사. 임직원보수 일람표'!F135</f>
        <v>6</v>
      </c>
      <c r="T126" s="916" t="s">
        <v>345</v>
      </c>
      <c r="U126" s="917">
        <f t="shared" si="5"/>
        <v>11868000</v>
      </c>
      <c r="Y126" s="544"/>
      <c r="Z126" s="544"/>
      <c r="AA126" s="544"/>
      <c r="AE126" s="1054"/>
    </row>
    <row r="127" spans="1:31" ht="21.75" hidden="1" customHeight="1" x14ac:dyDescent="0.15">
      <c r="A127" s="569"/>
      <c r="B127" s="570"/>
      <c r="C127" s="570"/>
      <c r="D127" s="571"/>
      <c r="E127" s="572"/>
      <c r="F127" s="573"/>
      <c r="G127" s="942"/>
      <c r="H127" s="602"/>
      <c r="I127" s="574"/>
      <c r="J127" s="574"/>
      <c r="K127" s="955"/>
      <c r="L127" s="910" t="s">
        <v>680</v>
      </c>
      <c r="M127" s="912" t="s">
        <v>726</v>
      </c>
      <c r="N127" s="910" t="s">
        <v>721</v>
      </c>
      <c r="O127" s="911">
        <f>'사. 임직원보수 일람표'!H136</f>
        <v>2036000</v>
      </c>
      <c r="P127" s="913" t="s">
        <v>724</v>
      </c>
      <c r="Q127" s="914">
        <v>1</v>
      </c>
      <c r="R127" s="913" t="s">
        <v>724</v>
      </c>
      <c r="S127" s="915">
        <f>'사. 임직원보수 일람표'!F136</f>
        <v>6</v>
      </c>
      <c r="T127" s="916" t="s">
        <v>345</v>
      </c>
      <c r="U127" s="917">
        <f t="shared" si="5"/>
        <v>12216000</v>
      </c>
      <c r="Y127" s="544"/>
      <c r="Z127" s="544"/>
      <c r="AA127" s="544"/>
      <c r="AE127" s="1054"/>
    </row>
    <row r="128" spans="1:31" ht="21.75" hidden="1" customHeight="1" x14ac:dyDescent="0.15">
      <c r="A128" s="569"/>
      <c r="B128" s="570"/>
      <c r="C128" s="570"/>
      <c r="D128" s="571"/>
      <c r="E128" s="572"/>
      <c r="F128" s="573"/>
      <c r="G128" s="942"/>
      <c r="H128" s="602"/>
      <c r="I128" s="574"/>
      <c r="J128" s="574"/>
      <c r="K128" s="955"/>
      <c r="L128" s="910" t="s">
        <v>680</v>
      </c>
      <c r="M128" s="912" t="s">
        <v>726</v>
      </c>
      <c r="N128" s="910" t="s">
        <v>722</v>
      </c>
      <c r="O128" s="911">
        <f>'사. 임직원보수 일람표'!H137</f>
        <v>2099000</v>
      </c>
      <c r="P128" s="913" t="s">
        <v>724</v>
      </c>
      <c r="Q128" s="914">
        <v>1</v>
      </c>
      <c r="R128" s="913" t="s">
        <v>724</v>
      </c>
      <c r="S128" s="915">
        <f>'사. 임직원보수 일람표'!F137</f>
        <v>10</v>
      </c>
      <c r="T128" s="916" t="s">
        <v>345</v>
      </c>
      <c r="U128" s="917">
        <f t="shared" si="5"/>
        <v>20990000</v>
      </c>
      <c r="Y128" s="544"/>
      <c r="Z128" s="544"/>
      <c r="AA128" s="544"/>
      <c r="AE128" s="1054"/>
    </row>
    <row r="129" spans="1:31" ht="21.75" hidden="1" customHeight="1" x14ac:dyDescent="0.15">
      <c r="A129" s="569"/>
      <c r="B129" s="570"/>
      <c r="C129" s="570"/>
      <c r="D129" s="571"/>
      <c r="E129" s="572"/>
      <c r="F129" s="573"/>
      <c r="G129" s="942"/>
      <c r="H129" s="602"/>
      <c r="I129" s="574"/>
      <c r="J129" s="574"/>
      <c r="K129" s="955"/>
      <c r="L129" s="910" t="s">
        <v>680</v>
      </c>
      <c r="M129" s="912" t="s">
        <v>726</v>
      </c>
      <c r="N129" s="910" t="s">
        <v>722</v>
      </c>
      <c r="O129" s="911">
        <f>'사. 임직원보수 일람표'!H138</f>
        <v>2164000</v>
      </c>
      <c r="P129" s="913" t="s">
        <v>724</v>
      </c>
      <c r="Q129" s="914">
        <v>1</v>
      </c>
      <c r="R129" s="913" t="s">
        <v>724</v>
      </c>
      <c r="S129" s="915">
        <f>'사. 임직원보수 일람표'!F138</f>
        <v>2</v>
      </c>
      <c r="T129" s="916"/>
      <c r="U129" s="917">
        <f t="shared" si="5"/>
        <v>4328000</v>
      </c>
      <c r="Y129" s="544"/>
      <c r="Z129" s="544"/>
      <c r="AA129" s="544"/>
      <c r="AE129" s="1054"/>
    </row>
    <row r="130" spans="1:31" ht="21.75" hidden="1" customHeight="1" x14ac:dyDescent="0.15">
      <c r="A130" s="569"/>
      <c r="B130" s="570"/>
      <c r="C130" s="570"/>
      <c r="D130" s="571"/>
      <c r="E130" s="572"/>
      <c r="F130" s="573"/>
      <c r="G130" s="942"/>
      <c r="H130" s="602"/>
      <c r="I130" s="574"/>
      <c r="J130" s="574"/>
      <c r="K130" s="955"/>
      <c r="L130" s="910" t="s">
        <v>680</v>
      </c>
      <c r="M130" s="912" t="s">
        <v>726</v>
      </c>
      <c r="N130" s="910" t="s">
        <v>723</v>
      </c>
      <c r="O130" s="911">
        <f>'사. 임직원보수 일람표'!H139</f>
        <v>2099000</v>
      </c>
      <c r="P130" s="913" t="s">
        <v>724</v>
      </c>
      <c r="Q130" s="914">
        <v>1</v>
      </c>
      <c r="R130" s="913" t="s">
        <v>724</v>
      </c>
      <c r="S130" s="915">
        <f>'사. 임직원보수 일람표'!F139</f>
        <v>12</v>
      </c>
      <c r="T130" s="916" t="s">
        <v>345</v>
      </c>
      <c r="U130" s="917">
        <f t="shared" si="5"/>
        <v>25188000</v>
      </c>
      <c r="Y130" s="544"/>
      <c r="Z130" s="544"/>
      <c r="AA130" s="544"/>
      <c r="AE130" s="1054"/>
    </row>
    <row r="131" spans="1:31" ht="21.75" hidden="1" customHeight="1" x14ac:dyDescent="0.15">
      <c r="A131" s="569"/>
      <c r="B131" s="570"/>
      <c r="C131" s="570"/>
      <c r="D131" s="571"/>
      <c r="E131" s="572"/>
      <c r="F131" s="573"/>
      <c r="G131" s="942"/>
      <c r="H131" s="602"/>
      <c r="I131" s="574"/>
      <c r="J131" s="574"/>
      <c r="K131" s="955"/>
      <c r="L131" s="910" t="s">
        <v>680</v>
      </c>
      <c r="M131" s="912" t="s">
        <v>726</v>
      </c>
      <c r="N131" s="910" t="s">
        <v>322</v>
      </c>
      <c r="O131" s="911">
        <f>'사. 임직원보수 일람표'!H140</f>
        <v>0</v>
      </c>
      <c r="P131" s="913" t="s">
        <v>724</v>
      </c>
      <c r="Q131" s="914">
        <v>1</v>
      </c>
      <c r="R131" s="913" t="s">
        <v>724</v>
      </c>
      <c r="S131" s="915">
        <f>'사. 임직원보수 일람표'!F140</f>
        <v>0</v>
      </c>
      <c r="T131" s="916" t="s">
        <v>345</v>
      </c>
      <c r="U131" s="917">
        <f t="shared" si="5"/>
        <v>0</v>
      </c>
      <c r="Y131" s="544"/>
      <c r="Z131" s="544"/>
      <c r="AA131" s="544"/>
      <c r="AE131" s="1054"/>
    </row>
    <row r="132" spans="1:31" ht="21.75" hidden="1" customHeight="1" x14ac:dyDescent="0.15">
      <c r="A132" s="569"/>
      <c r="B132" s="570"/>
      <c r="C132" s="570"/>
      <c r="D132" s="571"/>
      <c r="E132" s="572"/>
      <c r="F132" s="573"/>
      <c r="G132" s="942"/>
      <c r="H132" s="602"/>
      <c r="I132" s="574"/>
      <c r="J132" s="574"/>
      <c r="K132" s="955"/>
      <c r="L132" s="910" t="s">
        <v>680</v>
      </c>
      <c r="M132" s="912" t="s">
        <v>726</v>
      </c>
      <c r="N132" s="910" t="s">
        <v>1225</v>
      </c>
      <c r="O132" s="911">
        <f>'사. 임직원보수 일람표'!H141</f>
        <v>2099000</v>
      </c>
      <c r="P132" s="913" t="s">
        <v>724</v>
      </c>
      <c r="Q132" s="914">
        <v>1</v>
      </c>
      <c r="R132" s="913" t="s">
        <v>724</v>
      </c>
      <c r="S132" s="915">
        <f>'사. 임직원보수 일람표'!F141</f>
        <v>12</v>
      </c>
      <c r="T132" s="916" t="s">
        <v>345</v>
      </c>
      <c r="U132" s="917">
        <f>O132*Q132*S132</f>
        <v>25188000</v>
      </c>
      <c r="Y132" s="544"/>
      <c r="Z132" s="544"/>
      <c r="AA132" s="544"/>
      <c r="AE132" s="1054"/>
    </row>
    <row r="133" spans="1:31" ht="21.75" hidden="1" customHeight="1" x14ac:dyDescent="0.15">
      <c r="A133" s="569"/>
      <c r="B133" s="570"/>
      <c r="C133" s="570"/>
      <c r="D133" s="571"/>
      <c r="E133" s="572"/>
      <c r="F133" s="573"/>
      <c r="G133" s="942"/>
      <c r="H133" s="602"/>
      <c r="I133" s="574"/>
      <c r="J133" s="574"/>
      <c r="K133" s="955"/>
      <c r="L133" s="910" t="s">
        <v>680</v>
      </c>
      <c r="M133" s="912" t="s">
        <v>726</v>
      </c>
      <c r="N133" s="910" t="s">
        <v>1225</v>
      </c>
      <c r="O133" s="911">
        <f>'사. 임직원보수 일람표'!H142</f>
        <v>0</v>
      </c>
      <c r="P133" s="913" t="s">
        <v>724</v>
      </c>
      <c r="Q133" s="914">
        <v>1</v>
      </c>
      <c r="R133" s="913" t="s">
        <v>724</v>
      </c>
      <c r="S133" s="915">
        <f>'사. 임직원보수 일람표'!F142</f>
        <v>0</v>
      </c>
      <c r="T133" s="916" t="s">
        <v>345</v>
      </c>
      <c r="U133" s="917">
        <f t="shared" si="5"/>
        <v>0</v>
      </c>
      <c r="Y133" s="544"/>
      <c r="Z133" s="544"/>
      <c r="AA133" s="544"/>
      <c r="AE133" s="1054"/>
    </row>
    <row r="134" spans="1:31" ht="21.75" hidden="1" customHeight="1" x14ac:dyDescent="0.15">
      <c r="A134" s="569"/>
      <c r="B134" s="570"/>
      <c r="C134" s="570"/>
      <c r="D134" s="571"/>
      <c r="E134" s="572"/>
      <c r="F134" s="573"/>
      <c r="G134" s="942"/>
      <c r="H134" s="602"/>
      <c r="I134" s="574"/>
      <c r="J134" s="574"/>
      <c r="K134" s="955"/>
      <c r="L134" s="910" t="s">
        <v>680</v>
      </c>
      <c r="M134" s="912" t="s">
        <v>726</v>
      </c>
      <c r="N134" s="910" t="s">
        <v>1226</v>
      </c>
      <c r="O134" s="911">
        <f>'사. 임직원보수 일람표'!H143</f>
        <v>2036000</v>
      </c>
      <c r="P134" s="913" t="s">
        <v>724</v>
      </c>
      <c r="Q134" s="914">
        <v>1</v>
      </c>
      <c r="R134" s="913" t="s">
        <v>724</v>
      </c>
      <c r="S134" s="915">
        <f>'사. 임직원보수 일람표'!F143</f>
        <v>5</v>
      </c>
      <c r="T134" s="916" t="s">
        <v>345</v>
      </c>
      <c r="U134" s="917">
        <f t="shared" si="5"/>
        <v>10180000</v>
      </c>
      <c r="Y134" s="544"/>
      <c r="Z134" s="544"/>
      <c r="AA134" s="544"/>
      <c r="AE134" s="1054"/>
    </row>
    <row r="135" spans="1:31" ht="21.75" hidden="1" customHeight="1" x14ac:dyDescent="0.15">
      <c r="A135" s="569"/>
      <c r="B135" s="570"/>
      <c r="C135" s="570"/>
      <c r="D135" s="571"/>
      <c r="E135" s="572"/>
      <c r="F135" s="573"/>
      <c r="G135" s="942"/>
      <c r="H135" s="602"/>
      <c r="I135" s="574"/>
      <c r="J135" s="574"/>
      <c r="K135" s="955"/>
      <c r="L135" s="910" t="s">
        <v>680</v>
      </c>
      <c r="M135" s="912" t="s">
        <v>726</v>
      </c>
      <c r="N135" s="910" t="s">
        <v>1226</v>
      </c>
      <c r="O135" s="911">
        <f>'사. 임직원보수 일람표'!H144</f>
        <v>2099000</v>
      </c>
      <c r="P135" s="913" t="s">
        <v>724</v>
      </c>
      <c r="Q135" s="914">
        <v>1</v>
      </c>
      <c r="R135" s="913" t="s">
        <v>724</v>
      </c>
      <c r="S135" s="915">
        <f>'사. 임직원보수 일람표'!F144</f>
        <v>7</v>
      </c>
      <c r="T135" s="916" t="s">
        <v>345</v>
      </c>
      <c r="U135" s="917">
        <f t="shared" si="5"/>
        <v>14693000</v>
      </c>
      <c r="Y135" s="544"/>
      <c r="Z135" s="544"/>
      <c r="AA135" s="544"/>
      <c r="AE135" s="1054"/>
    </row>
    <row r="136" spans="1:31" ht="21.75" hidden="1" customHeight="1" x14ac:dyDescent="0.15">
      <c r="A136" s="569"/>
      <c r="B136" s="570"/>
      <c r="C136" s="570"/>
      <c r="D136" s="571"/>
      <c r="E136" s="572"/>
      <c r="F136" s="573"/>
      <c r="G136" s="942"/>
      <c r="H136" s="602"/>
      <c r="I136" s="574"/>
      <c r="J136" s="574"/>
      <c r="K136" s="955"/>
      <c r="L136" s="910" t="s">
        <v>680</v>
      </c>
      <c r="M136" s="912" t="s">
        <v>726</v>
      </c>
      <c r="N136" s="910" t="s">
        <v>1227</v>
      </c>
      <c r="O136" s="911">
        <f>'사. 임직원보수 일람표'!H145</f>
        <v>1978000</v>
      </c>
      <c r="P136" s="913" t="s">
        <v>724</v>
      </c>
      <c r="Q136" s="914">
        <v>1</v>
      </c>
      <c r="R136" s="913" t="s">
        <v>724</v>
      </c>
      <c r="S136" s="915">
        <f>'사. 임직원보수 일람표'!F145</f>
        <v>2</v>
      </c>
      <c r="T136" s="916" t="s">
        <v>345</v>
      </c>
      <c r="U136" s="917">
        <f t="shared" si="5"/>
        <v>3956000</v>
      </c>
      <c r="Y136" s="544"/>
      <c r="Z136" s="544"/>
      <c r="AA136" s="544"/>
      <c r="AE136" s="1054"/>
    </row>
    <row r="137" spans="1:31" ht="21.75" hidden="1" customHeight="1" x14ac:dyDescent="0.15">
      <c r="A137" s="569"/>
      <c r="B137" s="570"/>
      <c r="C137" s="570"/>
      <c r="D137" s="571"/>
      <c r="E137" s="572"/>
      <c r="F137" s="573"/>
      <c r="G137" s="942"/>
      <c r="H137" s="602"/>
      <c r="I137" s="574"/>
      <c r="J137" s="574"/>
      <c r="K137" s="955"/>
      <c r="L137" s="910" t="s">
        <v>680</v>
      </c>
      <c r="M137" s="912" t="s">
        <v>726</v>
      </c>
      <c r="N137" s="910" t="s">
        <v>1227</v>
      </c>
      <c r="O137" s="911">
        <f>'사. 임직원보수 일람표'!H146</f>
        <v>2036000</v>
      </c>
      <c r="P137" s="913" t="s">
        <v>724</v>
      </c>
      <c r="Q137" s="914">
        <v>1</v>
      </c>
      <c r="R137" s="913" t="s">
        <v>724</v>
      </c>
      <c r="S137" s="915">
        <f>'사. 임직원보수 일람표'!F146</f>
        <v>10</v>
      </c>
      <c r="T137" s="916" t="s">
        <v>345</v>
      </c>
      <c r="U137" s="917">
        <f t="shared" si="5"/>
        <v>20360000</v>
      </c>
      <c r="V137" s="544">
        <f>SUM(U114:U137)</f>
        <v>298867000</v>
      </c>
      <c r="W137" s="544">
        <f>V137-'사. 임직원보수 일람표'!I149</f>
        <v>0</v>
      </c>
      <c r="Y137" s="544"/>
      <c r="Z137" s="544"/>
      <c r="AA137" s="544"/>
      <c r="AE137" s="1054"/>
    </row>
    <row r="138" spans="1:31" ht="21.75" hidden="1" customHeight="1" x14ac:dyDescent="0.15">
      <c r="A138" s="569"/>
      <c r="B138" s="570"/>
      <c r="C138" s="570"/>
      <c r="D138" s="571"/>
      <c r="E138" s="572"/>
      <c r="F138" s="573"/>
      <c r="G138" s="942"/>
      <c r="H138" s="602"/>
      <c r="I138" s="574"/>
      <c r="J138" s="574"/>
      <c r="K138" s="955"/>
      <c r="L138" s="910" t="s">
        <v>906</v>
      </c>
      <c r="M138" s="912" t="s">
        <v>909</v>
      </c>
      <c r="N138" s="910" t="s">
        <v>912</v>
      </c>
      <c r="O138" s="911">
        <f>'사. 임직원보수 일람표'!H155</f>
        <v>2481000</v>
      </c>
      <c r="P138" s="913" t="s">
        <v>724</v>
      </c>
      <c r="Q138" s="914">
        <v>1</v>
      </c>
      <c r="R138" s="913" t="s">
        <v>724</v>
      </c>
      <c r="S138" s="915">
        <f>'사. 임직원보수 일람표'!F155</f>
        <v>2</v>
      </c>
      <c r="T138" s="916" t="s">
        <v>345</v>
      </c>
      <c r="U138" s="917">
        <f t="shared" si="5"/>
        <v>4962000</v>
      </c>
      <c r="Y138" s="544"/>
      <c r="Z138" s="544"/>
      <c r="AA138" s="544"/>
      <c r="AE138" s="1054"/>
    </row>
    <row r="139" spans="1:31" ht="21.75" hidden="1" customHeight="1" x14ac:dyDescent="0.15">
      <c r="A139" s="569"/>
      <c r="B139" s="570"/>
      <c r="C139" s="570"/>
      <c r="D139" s="571"/>
      <c r="E139" s="572"/>
      <c r="F139" s="573"/>
      <c r="G139" s="942"/>
      <c r="H139" s="602"/>
      <c r="I139" s="574"/>
      <c r="J139" s="574"/>
      <c r="K139" s="955"/>
      <c r="L139" s="910" t="s">
        <v>907</v>
      </c>
      <c r="M139" s="912" t="s">
        <v>910</v>
      </c>
      <c r="N139" s="910" t="s">
        <v>913</v>
      </c>
      <c r="O139" s="911">
        <f>'사. 임직원보수 일람표'!H156</f>
        <v>2607000</v>
      </c>
      <c r="P139" s="913" t="s">
        <v>724</v>
      </c>
      <c r="Q139" s="914">
        <v>1</v>
      </c>
      <c r="R139" s="913" t="s">
        <v>724</v>
      </c>
      <c r="S139" s="915">
        <f>'사. 임직원보수 일람표'!F156</f>
        <v>10</v>
      </c>
      <c r="T139" s="916" t="s">
        <v>345</v>
      </c>
      <c r="U139" s="917">
        <f t="shared" si="5"/>
        <v>26070000</v>
      </c>
      <c r="Y139" s="544"/>
      <c r="Z139" s="544"/>
      <c r="AA139" s="544"/>
      <c r="AE139" s="1054"/>
    </row>
    <row r="140" spans="1:31" ht="21.75" hidden="1" customHeight="1" x14ac:dyDescent="0.15">
      <c r="A140" s="569"/>
      <c r="B140" s="570"/>
      <c r="C140" s="570"/>
      <c r="D140" s="571"/>
      <c r="E140" s="572"/>
      <c r="F140" s="573"/>
      <c r="G140" s="942"/>
      <c r="H140" s="602"/>
      <c r="I140" s="574"/>
      <c r="J140" s="574"/>
      <c r="K140" s="955"/>
      <c r="L140" s="910" t="s">
        <v>908</v>
      </c>
      <c r="M140" s="912" t="s">
        <v>910</v>
      </c>
      <c r="N140" s="910" t="s">
        <v>914</v>
      </c>
      <c r="O140" s="911">
        <f>'사. 임직원보수 일람표'!H157</f>
        <v>2616000</v>
      </c>
      <c r="P140" s="913" t="s">
        <v>724</v>
      </c>
      <c r="Q140" s="914">
        <v>1</v>
      </c>
      <c r="R140" s="913" t="s">
        <v>724</v>
      </c>
      <c r="S140" s="915">
        <f>'사. 임직원보수 일람표'!F157</f>
        <v>3</v>
      </c>
      <c r="T140" s="916" t="s">
        <v>345</v>
      </c>
      <c r="U140" s="917">
        <f t="shared" si="5"/>
        <v>7848000</v>
      </c>
      <c r="Y140" s="544"/>
      <c r="Z140" s="544"/>
      <c r="AA140" s="544"/>
      <c r="AE140" s="1054"/>
    </row>
    <row r="141" spans="1:31" ht="21.75" hidden="1" customHeight="1" x14ac:dyDescent="0.15">
      <c r="A141" s="569"/>
      <c r="B141" s="570"/>
      <c r="C141" s="570"/>
      <c r="D141" s="571"/>
      <c r="E141" s="572"/>
      <c r="F141" s="573"/>
      <c r="G141" s="942"/>
      <c r="H141" s="602"/>
      <c r="I141" s="574"/>
      <c r="J141" s="574"/>
      <c r="K141" s="955"/>
      <c r="L141" s="910" t="s">
        <v>908</v>
      </c>
      <c r="M141" s="912" t="s">
        <v>911</v>
      </c>
      <c r="N141" s="910" t="s">
        <v>915</v>
      </c>
      <c r="O141" s="911">
        <f>'사. 임직원보수 일람표'!H158</f>
        <v>2667000</v>
      </c>
      <c r="P141" s="913" t="s">
        <v>724</v>
      </c>
      <c r="Q141" s="914">
        <v>1</v>
      </c>
      <c r="R141" s="913" t="s">
        <v>724</v>
      </c>
      <c r="S141" s="915">
        <f>'사. 임직원보수 일람표'!F158</f>
        <v>9</v>
      </c>
      <c r="T141" s="916" t="s">
        <v>345</v>
      </c>
      <c r="U141" s="917">
        <f t="shared" si="5"/>
        <v>24003000</v>
      </c>
      <c r="V141" s="544">
        <f>SUM(U138:U141)</f>
        <v>62883000</v>
      </c>
      <c r="W141" s="544">
        <f>V141-'사. 임직원보수 일람표'!I161</f>
        <v>0</v>
      </c>
      <c r="Y141" s="544"/>
      <c r="Z141" s="544"/>
      <c r="AA141" s="544"/>
      <c r="AE141" s="1054"/>
    </row>
    <row r="142" spans="1:31" ht="21.75" hidden="1" customHeight="1" x14ac:dyDescent="0.15">
      <c r="A142" s="569"/>
      <c r="B142" s="570"/>
      <c r="C142" s="570"/>
      <c r="D142" s="571"/>
      <c r="E142" s="572"/>
      <c r="F142" s="573"/>
      <c r="G142" s="942"/>
      <c r="H142" s="602"/>
      <c r="I142" s="574"/>
      <c r="J142" s="574"/>
      <c r="K142" s="955"/>
      <c r="L142" s="910" t="s">
        <v>1115</v>
      </c>
      <c r="M142" s="910" t="s">
        <v>1116</v>
      </c>
      <c r="N142" s="910" t="s">
        <v>1117</v>
      </c>
      <c r="O142" s="911">
        <f>'사. 임직원보수 일람표'!H205</f>
        <v>2150000</v>
      </c>
      <c r="P142" s="913" t="s">
        <v>724</v>
      </c>
      <c r="Q142" s="914">
        <v>1</v>
      </c>
      <c r="R142" s="913" t="s">
        <v>724</v>
      </c>
      <c r="S142" s="915">
        <v>12</v>
      </c>
      <c r="T142" s="916" t="s">
        <v>345</v>
      </c>
      <c r="U142" s="917">
        <f>O142*Q142*S142</f>
        <v>25800000</v>
      </c>
      <c r="Y142" s="544"/>
      <c r="Z142" s="544"/>
      <c r="AA142" s="544"/>
      <c r="AE142" s="1054"/>
    </row>
    <row r="143" spans="1:31" ht="21.75" hidden="1" customHeight="1" x14ac:dyDescent="0.15">
      <c r="A143" s="569"/>
      <c r="B143" s="570"/>
      <c r="C143" s="570"/>
      <c r="D143" s="571"/>
      <c r="E143" s="572"/>
      <c r="F143" s="573"/>
      <c r="G143" s="942"/>
      <c r="H143" s="602"/>
      <c r="I143" s="574"/>
      <c r="J143" s="574"/>
      <c r="K143" s="955"/>
      <c r="L143" s="910" t="s">
        <v>1118</v>
      </c>
      <c r="M143" s="910" t="s">
        <v>1118</v>
      </c>
      <c r="N143" s="910" t="s">
        <v>1119</v>
      </c>
      <c r="O143" s="911">
        <f>'사. 임직원보수 일람표'!H207</f>
        <v>2000000</v>
      </c>
      <c r="P143" s="913" t="s">
        <v>724</v>
      </c>
      <c r="Q143" s="914">
        <v>1</v>
      </c>
      <c r="R143" s="913" t="s">
        <v>724</v>
      </c>
      <c r="S143" s="915">
        <v>3</v>
      </c>
      <c r="T143" s="916" t="s">
        <v>345</v>
      </c>
      <c r="U143" s="917">
        <f>O143*Q143*S143</f>
        <v>6000000</v>
      </c>
      <c r="V143" s="544">
        <f>SUM(U142:U143)</f>
        <v>31800000</v>
      </c>
      <c r="W143" s="544">
        <f>V143-'사. 임직원보수 일람표'!I209</f>
        <v>0</v>
      </c>
      <c r="Y143" s="544"/>
      <c r="Z143" s="544"/>
      <c r="AA143" s="544"/>
      <c r="AE143" s="1054"/>
    </row>
    <row r="144" spans="1:31" ht="21.75" hidden="1" customHeight="1" x14ac:dyDescent="0.15">
      <c r="A144" s="569"/>
      <c r="B144" s="570"/>
      <c r="C144" s="570"/>
      <c r="D144" s="571"/>
      <c r="E144" s="572"/>
      <c r="F144" s="573"/>
      <c r="G144" s="942"/>
      <c r="H144" s="602"/>
      <c r="I144" s="574"/>
      <c r="J144" s="574"/>
      <c r="K144" s="955"/>
      <c r="L144" s="910"/>
      <c r="M144" s="910"/>
      <c r="N144" s="910"/>
      <c r="O144" s="911"/>
      <c r="P144" s="913"/>
      <c r="Q144" s="914"/>
      <c r="R144" s="913"/>
      <c r="S144" s="915"/>
      <c r="T144" s="916"/>
      <c r="U144" s="917"/>
      <c r="Y144" s="544"/>
      <c r="Z144" s="544"/>
      <c r="AA144" s="544"/>
      <c r="AE144" s="1054"/>
    </row>
    <row r="145" spans="1:31" ht="21.75" customHeight="1" x14ac:dyDescent="0.15">
      <c r="A145" s="569"/>
      <c r="B145" s="570"/>
      <c r="C145" s="961" t="s">
        <v>957</v>
      </c>
      <c r="D145" s="962">
        <v>12000000</v>
      </c>
      <c r="E145" s="963">
        <f>SUM(H145:K145)</f>
        <v>12000000</v>
      </c>
      <c r="F145" s="963">
        <f>E145-D145</f>
        <v>0</v>
      </c>
      <c r="G145" s="964">
        <f>F145/D145*100</f>
        <v>0</v>
      </c>
      <c r="H145" s="965">
        <v>0</v>
      </c>
      <c r="I145" s="966"/>
      <c r="J145" s="966">
        <v>0</v>
      </c>
      <c r="K145" s="967">
        <f>'아. 일용잡급일람표'!N11</f>
        <v>12000000</v>
      </c>
      <c r="L145" s="968" t="s">
        <v>746</v>
      </c>
      <c r="M145" s="968"/>
      <c r="N145" s="970"/>
      <c r="O145" s="969"/>
      <c r="P145" s="971"/>
      <c r="Q145" s="969"/>
      <c r="R145" s="972"/>
      <c r="S145" s="969"/>
      <c r="T145" s="969"/>
      <c r="U145" s="1008">
        <f>U146</f>
        <v>12000000</v>
      </c>
      <c r="W145" s="612">
        <f>(72750000)+(50950000)</f>
        <v>123700000</v>
      </c>
      <c r="AC145" s="1214">
        <f>K145</f>
        <v>12000000</v>
      </c>
      <c r="AE145" s="1054"/>
    </row>
    <row r="146" spans="1:31" ht="21.75" hidden="1" customHeight="1" x14ac:dyDescent="0.15">
      <c r="A146" s="569"/>
      <c r="B146" s="570"/>
      <c r="C146" s="570"/>
      <c r="D146" s="571"/>
      <c r="E146" s="572"/>
      <c r="F146" s="573"/>
      <c r="G146" s="942"/>
      <c r="H146" s="602"/>
      <c r="I146" s="574"/>
      <c r="J146" s="574"/>
      <c r="K146" s="955"/>
      <c r="L146" s="946"/>
      <c r="M146" s="575" t="s">
        <v>728</v>
      </c>
      <c r="N146" s="918" t="s">
        <v>729</v>
      </c>
      <c r="O146" s="1095">
        <v>1000000</v>
      </c>
      <c r="P146" s="913" t="s">
        <v>724</v>
      </c>
      <c r="Q146" s="914">
        <v>1</v>
      </c>
      <c r="R146" s="913" t="s">
        <v>724</v>
      </c>
      <c r="S146" s="915">
        <v>12</v>
      </c>
      <c r="T146" s="916" t="s">
        <v>345</v>
      </c>
      <c r="U146" s="917">
        <f>O146*Q146*S146</f>
        <v>12000000</v>
      </c>
      <c r="W146" s="544">
        <f>SUM(H677,H682,H725,H766,H777)</f>
        <v>123700000</v>
      </c>
      <c r="AE146" s="1054"/>
    </row>
    <row r="147" spans="1:31" ht="21.75" customHeight="1" x14ac:dyDescent="0.15">
      <c r="A147" s="569"/>
      <c r="B147" s="570"/>
      <c r="C147" s="961" t="s">
        <v>110</v>
      </c>
      <c r="D147" s="962">
        <v>783337200</v>
      </c>
      <c r="E147" s="963">
        <f>SUM(H147:K147)</f>
        <v>795425660</v>
      </c>
      <c r="F147" s="963">
        <f>E147-D147</f>
        <v>12088460</v>
      </c>
      <c r="G147" s="964">
        <f>F147/D147*100</f>
        <v>1.5432000420763881</v>
      </c>
      <c r="H147" s="965">
        <f>'사. 임직원보수 일람표'!R103+'사. 임직원보수 일람표'!R116+'사. 임직원보수 일람표'!R149+'사. 임직원보수 일람표'!R161</f>
        <v>766625660</v>
      </c>
      <c r="I147" s="966">
        <f>'사. 임직원보수 일람표'!R191</f>
        <v>19200000</v>
      </c>
      <c r="J147" s="966">
        <v>0</v>
      </c>
      <c r="K147" s="967">
        <f>'사. 임직원보수 일람표'!R209</f>
        <v>9600000</v>
      </c>
      <c r="L147" s="968" t="s">
        <v>747</v>
      </c>
      <c r="M147" s="968"/>
      <c r="N147" s="970"/>
      <c r="O147" s="969"/>
      <c r="P147" s="971"/>
      <c r="Q147" s="969"/>
      <c r="R147" s="972"/>
      <c r="S147" s="969"/>
      <c r="T147" s="969"/>
      <c r="U147" s="1008">
        <f>U148+U274+U319+U451+U580+U627+U640</f>
        <v>795425660</v>
      </c>
      <c r="V147" s="544">
        <f>U147-E147</f>
        <v>0</v>
      </c>
      <c r="W147" s="544">
        <f>W145-W146</f>
        <v>0</v>
      </c>
      <c r="AC147" s="1214">
        <f>K147</f>
        <v>9600000</v>
      </c>
      <c r="AE147" s="1054"/>
    </row>
    <row r="148" spans="1:31" ht="21.75" customHeight="1" x14ac:dyDescent="0.15">
      <c r="A148" s="569"/>
      <c r="B148" s="570"/>
      <c r="C148" s="570"/>
      <c r="D148" s="571"/>
      <c r="E148" s="572"/>
      <c r="F148" s="573"/>
      <c r="G148" s="942"/>
      <c r="H148" s="602"/>
      <c r="I148" s="574"/>
      <c r="J148" s="574"/>
      <c r="K148" s="955"/>
      <c r="L148" s="1216" t="s">
        <v>730</v>
      </c>
      <c r="M148" s="975"/>
      <c r="N148" s="976"/>
      <c r="O148" s="975"/>
      <c r="P148" s="977"/>
      <c r="Q148" s="975"/>
      <c r="R148" s="978"/>
      <c r="S148" s="975"/>
      <c r="T148" s="975"/>
      <c r="U148" s="979">
        <f>SUM(U149:U273)</f>
        <v>196734000</v>
      </c>
      <c r="V148" s="544">
        <f>U148-'사. 임직원보수 일람표'!J214</f>
        <v>0</v>
      </c>
      <c r="AE148" s="1054"/>
    </row>
    <row r="149" spans="1:31" ht="21.75" hidden="1" customHeight="1" x14ac:dyDescent="0.15">
      <c r="A149" s="569"/>
      <c r="B149" s="570"/>
      <c r="C149" s="570"/>
      <c r="D149" s="571"/>
      <c r="E149" s="572"/>
      <c r="F149" s="573"/>
      <c r="G149" s="942"/>
      <c r="H149" s="602"/>
      <c r="I149" s="574"/>
      <c r="J149" s="574"/>
      <c r="K149" s="955"/>
      <c r="L149" s="1217" t="s">
        <v>655</v>
      </c>
      <c r="M149" s="910" t="s">
        <v>655</v>
      </c>
      <c r="N149" s="910" t="s">
        <v>656</v>
      </c>
      <c r="O149" s="911">
        <f>'사. 임직원보수 일람표'!H5</f>
        <v>4149000</v>
      </c>
      <c r="P149" s="913" t="s">
        <v>724</v>
      </c>
      <c r="Q149" s="921">
        <v>0.6</v>
      </c>
      <c r="R149" s="913" t="s">
        <v>724</v>
      </c>
      <c r="S149" s="920">
        <v>1</v>
      </c>
      <c r="T149" s="916" t="s">
        <v>345</v>
      </c>
      <c r="U149" s="917">
        <f>O149*Q149*S149</f>
        <v>2489400</v>
      </c>
      <c r="AE149" s="1054"/>
    </row>
    <row r="150" spans="1:31" ht="21.75" hidden="1" customHeight="1" x14ac:dyDescent="0.15">
      <c r="A150" s="569"/>
      <c r="B150" s="570"/>
      <c r="C150" s="570"/>
      <c r="D150" s="571"/>
      <c r="E150" s="572"/>
      <c r="F150" s="573"/>
      <c r="G150" s="942"/>
      <c r="H150" s="602"/>
      <c r="I150" s="574"/>
      <c r="J150" s="574"/>
      <c r="K150" s="955"/>
      <c r="L150" s="1217" t="s">
        <v>655</v>
      </c>
      <c r="M150" s="910" t="s">
        <v>655</v>
      </c>
      <c r="N150" s="910" t="s">
        <v>656</v>
      </c>
      <c r="O150" s="911">
        <f>'사. 임직원보수 일람표'!H6</f>
        <v>4223000</v>
      </c>
      <c r="P150" s="913" t="s">
        <v>724</v>
      </c>
      <c r="Q150" s="921">
        <v>0.6</v>
      </c>
      <c r="R150" s="913" t="s">
        <v>724</v>
      </c>
      <c r="S150" s="920">
        <v>1</v>
      </c>
      <c r="T150" s="916" t="s">
        <v>345</v>
      </c>
      <c r="U150" s="917">
        <f>O150*Q150*S150</f>
        <v>2533800</v>
      </c>
      <c r="AE150" s="1054"/>
    </row>
    <row r="151" spans="1:31" ht="21.75" hidden="1" customHeight="1" x14ac:dyDescent="0.15">
      <c r="A151" s="569"/>
      <c r="B151" s="570"/>
      <c r="C151" s="570"/>
      <c r="D151" s="571"/>
      <c r="E151" s="572"/>
      <c r="F151" s="573"/>
      <c r="G151" s="942"/>
      <c r="H151" s="602"/>
      <c r="I151" s="574"/>
      <c r="J151" s="574"/>
      <c r="K151" s="955"/>
      <c r="L151" s="1217" t="s">
        <v>657</v>
      </c>
      <c r="M151" s="910" t="s">
        <v>657</v>
      </c>
      <c r="N151" s="910" t="s">
        <v>658</v>
      </c>
      <c r="O151" s="911">
        <f>'사. 임직원보수 일람표'!H7</f>
        <v>4085000</v>
      </c>
      <c r="P151" s="913" t="s">
        <v>724</v>
      </c>
      <c r="Q151" s="921">
        <v>0.6</v>
      </c>
      <c r="R151" s="913" t="s">
        <v>724</v>
      </c>
      <c r="S151" s="920">
        <v>1</v>
      </c>
      <c r="T151" s="916" t="s">
        <v>345</v>
      </c>
      <c r="U151" s="917">
        <f t="shared" ref="U151:U156" si="6">O151*Q151*S151</f>
        <v>2451000</v>
      </c>
      <c r="AE151" s="1054"/>
    </row>
    <row r="152" spans="1:31" ht="21.75" hidden="1" customHeight="1" x14ac:dyDescent="0.15">
      <c r="A152" s="569"/>
      <c r="B152" s="570"/>
      <c r="C152" s="570"/>
      <c r="D152" s="571"/>
      <c r="E152" s="572"/>
      <c r="F152" s="573"/>
      <c r="G152" s="942"/>
      <c r="H152" s="602"/>
      <c r="I152" s="574"/>
      <c r="J152" s="574"/>
      <c r="K152" s="955"/>
      <c r="L152" s="1217" t="s">
        <v>657</v>
      </c>
      <c r="M152" s="910" t="s">
        <v>657</v>
      </c>
      <c r="N152" s="910" t="s">
        <v>658</v>
      </c>
      <c r="O152" s="911">
        <f>'사. 임직원보수 일람표'!H8</f>
        <v>4138000</v>
      </c>
      <c r="P152" s="913" t="s">
        <v>724</v>
      </c>
      <c r="Q152" s="921">
        <v>0.6</v>
      </c>
      <c r="R152" s="913" t="s">
        <v>724</v>
      </c>
      <c r="S152" s="920">
        <v>1</v>
      </c>
      <c r="T152" s="916" t="s">
        <v>345</v>
      </c>
      <c r="U152" s="917">
        <f t="shared" si="6"/>
        <v>2482800</v>
      </c>
      <c r="AE152" s="1054"/>
    </row>
    <row r="153" spans="1:31" ht="21.75" hidden="1" customHeight="1" x14ac:dyDescent="0.15">
      <c r="A153" s="569"/>
      <c r="B153" s="570"/>
      <c r="C153" s="570"/>
      <c r="D153" s="571"/>
      <c r="E153" s="572"/>
      <c r="F153" s="573"/>
      <c r="G153" s="942"/>
      <c r="H153" s="602"/>
      <c r="I153" s="574"/>
      <c r="J153" s="574"/>
      <c r="K153" s="955"/>
      <c r="L153" s="1217" t="s">
        <v>659</v>
      </c>
      <c r="M153" s="910" t="s">
        <v>660</v>
      </c>
      <c r="N153" s="910" t="s">
        <v>661</v>
      </c>
      <c r="O153" s="911">
        <f>'사. 임직원보수 일람표'!H9</f>
        <v>3608000</v>
      </c>
      <c r="P153" s="913" t="s">
        <v>724</v>
      </c>
      <c r="Q153" s="921">
        <v>0.6</v>
      </c>
      <c r="R153" s="913" t="s">
        <v>724</v>
      </c>
      <c r="S153" s="920">
        <v>1</v>
      </c>
      <c r="T153" s="916" t="s">
        <v>345</v>
      </c>
      <c r="U153" s="917">
        <f t="shared" si="6"/>
        <v>2164800</v>
      </c>
      <c r="AE153" s="1054"/>
    </row>
    <row r="154" spans="1:31" ht="21.75" hidden="1" customHeight="1" x14ac:dyDescent="0.15">
      <c r="A154" s="569"/>
      <c r="B154" s="570"/>
      <c r="C154" s="570"/>
      <c r="D154" s="571"/>
      <c r="E154" s="572"/>
      <c r="F154" s="573"/>
      <c r="G154" s="942"/>
      <c r="H154" s="602"/>
      <c r="I154" s="574"/>
      <c r="J154" s="574"/>
      <c r="K154" s="955"/>
      <c r="L154" s="1217" t="s">
        <v>659</v>
      </c>
      <c r="M154" s="910" t="s">
        <v>660</v>
      </c>
      <c r="N154" s="910" t="s">
        <v>661</v>
      </c>
      <c r="O154" s="911">
        <f>'사. 임직원보수 일람표'!H10</f>
        <v>3665000</v>
      </c>
      <c r="P154" s="913" t="s">
        <v>724</v>
      </c>
      <c r="Q154" s="921">
        <v>0.6</v>
      </c>
      <c r="R154" s="913" t="s">
        <v>724</v>
      </c>
      <c r="S154" s="920">
        <v>1</v>
      </c>
      <c r="T154" s="916" t="s">
        <v>345</v>
      </c>
      <c r="U154" s="917">
        <f t="shared" si="6"/>
        <v>2199000</v>
      </c>
      <c r="AE154" s="1054"/>
    </row>
    <row r="155" spans="1:31" ht="21.75" hidden="1" customHeight="1" x14ac:dyDescent="0.15">
      <c r="A155" s="569"/>
      <c r="B155" s="570"/>
      <c r="C155" s="570"/>
      <c r="D155" s="571"/>
      <c r="E155" s="572"/>
      <c r="F155" s="573"/>
      <c r="G155" s="942"/>
      <c r="H155" s="602"/>
      <c r="I155" s="574"/>
      <c r="J155" s="574"/>
      <c r="K155" s="955"/>
      <c r="L155" s="1217" t="s">
        <v>662</v>
      </c>
      <c r="M155" s="910" t="s">
        <v>663</v>
      </c>
      <c r="N155" s="910" t="s">
        <v>664</v>
      </c>
      <c r="O155" s="911">
        <f>'사. 임직원보수 일람표'!H11</f>
        <v>3940000</v>
      </c>
      <c r="P155" s="913" t="s">
        <v>724</v>
      </c>
      <c r="Q155" s="921">
        <v>0.6</v>
      </c>
      <c r="R155" s="913" t="s">
        <v>724</v>
      </c>
      <c r="S155" s="920">
        <v>1</v>
      </c>
      <c r="T155" s="916" t="s">
        <v>345</v>
      </c>
      <c r="U155" s="917">
        <f t="shared" si="6"/>
        <v>2364000</v>
      </c>
      <c r="AE155" s="1054"/>
    </row>
    <row r="156" spans="1:31" ht="21.75" hidden="1" customHeight="1" x14ac:dyDescent="0.15">
      <c r="A156" s="569"/>
      <c r="B156" s="570"/>
      <c r="C156" s="570"/>
      <c r="D156" s="571"/>
      <c r="E156" s="572"/>
      <c r="F156" s="573"/>
      <c r="G156" s="942"/>
      <c r="H156" s="602"/>
      <c r="I156" s="574"/>
      <c r="J156" s="574"/>
      <c r="K156" s="955"/>
      <c r="L156" s="1217" t="s">
        <v>662</v>
      </c>
      <c r="M156" s="910" t="s">
        <v>663</v>
      </c>
      <c r="N156" s="910" t="s">
        <v>664</v>
      </c>
      <c r="O156" s="911">
        <f>'사. 임직원보수 일람표'!H12</f>
        <v>3975000</v>
      </c>
      <c r="P156" s="913" t="s">
        <v>724</v>
      </c>
      <c r="Q156" s="921">
        <v>0.6</v>
      </c>
      <c r="R156" s="913" t="s">
        <v>724</v>
      </c>
      <c r="S156" s="920">
        <v>1</v>
      </c>
      <c r="T156" s="916" t="s">
        <v>345</v>
      </c>
      <c r="U156" s="917">
        <f t="shared" si="6"/>
        <v>2385000</v>
      </c>
      <c r="AE156" s="1054"/>
    </row>
    <row r="157" spans="1:31" ht="21.75" hidden="1" customHeight="1" x14ac:dyDescent="0.15">
      <c r="A157" s="569"/>
      <c r="B157" s="570"/>
      <c r="C157" s="570"/>
      <c r="D157" s="571"/>
      <c r="E157" s="572"/>
      <c r="F157" s="573"/>
      <c r="G157" s="942"/>
      <c r="H157" s="602"/>
      <c r="I157" s="574"/>
      <c r="J157" s="574"/>
      <c r="K157" s="955"/>
      <c r="L157" s="1217" t="s">
        <v>665</v>
      </c>
      <c r="M157" s="910" t="s">
        <v>663</v>
      </c>
      <c r="N157" s="910" t="s">
        <v>666</v>
      </c>
      <c r="O157" s="911">
        <f>'사. 임직원보수 일람표'!H13</f>
        <v>3051000</v>
      </c>
      <c r="P157" s="913" t="s">
        <v>724</v>
      </c>
      <c r="Q157" s="921">
        <v>0.6</v>
      </c>
      <c r="R157" s="913" t="s">
        <v>724</v>
      </c>
      <c r="S157" s="920">
        <v>2</v>
      </c>
      <c r="T157" s="916" t="s">
        <v>345</v>
      </c>
      <c r="U157" s="917">
        <f>O157*Q157*S157</f>
        <v>3661200</v>
      </c>
      <c r="AE157" s="1054"/>
    </row>
    <row r="158" spans="1:31" ht="21.75" hidden="1" customHeight="1" x14ac:dyDescent="0.15">
      <c r="A158" s="569"/>
      <c r="B158" s="570"/>
      <c r="C158" s="570"/>
      <c r="D158" s="571"/>
      <c r="E158" s="572"/>
      <c r="F158" s="573"/>
      <c r="G158" s="942"/>
      <c r="H158" s="602"/>
      <c r="I158" s="574"/>
      <c r="J158" s="574"/>
      <c r="K158" s="955"/>
      <c r="L158" s="1217" t="s">
        <v>667</v>
      </c>
      <c r="M158" s="910" t="s">
        <v>663</v>
      </c>
      <c r="N158" s="910" t="s">
        <v>1228</v>
      </c>
      <c r="O158" s="911">
        <f>'사. 임직원보수 일람표'!H15</f>
        <v>3204000</v>
      </c>
      <c r="P158" s="913" t="s">
        <v>724</v>
      </c>
      <c r="Q158" s="921">
        <v>0.6</v>
      </c>
      <c r="R158" s="913" t="s">
        <v>724</v>
      </c>
      <c r="S158" s="920">
        <v>1</v>
      </c>
      <c r="T158" s="916" t="s">
        <v>345</v>
      </c>
      <c r="U158" s="917">
        <f t="shared" ref="U158:U212" si="7">O158*Q158*S158</f>
        <v>1922400</v>
      </c>
      <c r="AE158" s="1054"/>
    </row>
    <row r="159" spans="1:31" ht="21.75" hidden="1" customHeight="1" x14ac:dyDescent="0.15">
      <c r="A159" s="569"/>
      <c r="B159" s="570"/>
      <c r="C159" s="570"/>
      <c r="D159" s="571"/>
      <c r="E159" s="572"/>
      <c r="F159" s="573"/>
      <c r="G159" s="942"/>
      <c r="H159" s="602"/>
      <c r="I159" s="574"/>
      <c r="J159" s="574"/>
      <c r="K159" s="955"/>
      <c r="L159" s="1217" t="s">
        <v>667</v>
      </c>
      <c r="M159" s="910" t="s">
        <v>663</v>
      </c>
      <c r="N159" s="910" t="s">
        <v>1228</v>
      </c>
      <c r="O159" s="911">
        <f>'사. 임직원보수 일람표'!H16</f>
        <v>3280000</v>
      </c>
      <c r="P159" s="913" t="s">
        <v>724</v>
      </c>
      <c r="Q159" s="921">
        <v>0.6</v>
      </c>
      <c r="R159" s="913" t="s">
        <v>724</v>
      </c>
      <c r="S159" s="920">
        <v>1</v>
      </c>
      <c r="T159" s="916" t="s">
        <v>345</v>
      </c>
      <c r="U159" s="917">
        <f t="shared" ref="U159" si="8">O159*Q159*S159</f>
        <v>1968000</v>
      </c>
      <c r="AE159" s="1054"/>
    </row>
    <row r="160" spans="1:31" ht="21.75" hidden="1" customHeight="1" x14ac:dyDescent="0.15">
      <c r="A160" s="569"/>
      <c r="B160" s="570"/>
      <c r="C160" s="570"/>
      <c r="D160" s="571"/>
      <c r="E160" s="572"/>
      <c r="F160" s="573"/>
      <c r="G160" s="942"/>
      <c r="H160" s="602"/>
      <c r="I160" s="574"/>
      <c r="J160" s="574"/>
      <c r="K160" s="955"/>
      <c r="L160" s="1217" t="s">
        <v>668</v>
      </c>
      <c r="M160" s="910"/>
      <c r="N160" s="910" t="s">
        <v>669</v>
      </c>
      <c r="O160" s="911">
        <f>'사. 임직원보수 일람표'!H17</f>
        <v>3280000</v>
      </c>
      <c r="P160" s="913" t="s">
        <v>724</v>
      </c>
      <c r="Q160" s="921">
        <v>0.6</v>
      </c>
      <c r="R160" s="913" t="s">
        <v>724</v>
      </c>
      <c r="S160" s="920">
        <v>1</v>
      </c>
      <c r="T160" s="916" t="s">
        <v>345</v>
      </c>
      <c r="U160" s="917">
        <f t="shared" si="7"/>
        <v>1968000</v>
      </c>
      <c r="AE160" s="1054"/>
    </row>
    <row r="161" spans="1:31" ht="21.75" hidden="1" customHeight="1" x14ac:dyDescent="0.15">
      <c r="A161" s="569"/>
      <c r="B161" s="570"/>
      <c r="C161" s="570"/>
      <c r="D161" s="571"/>
      <c r="E161" s="572"/>
      <c r="F161" s="573"/>
      <c r="G161" s="942"/>
      <c r="H161" s="602"/>
      <c r="I161" s="574"/>
      <c r="J161" s="574"/>
      <c r="K161" s="955"/>
      <c r="L161" s="1217" t="s">
        <v>668</v>
      </c>
      <c r="M161" s="910"/>
      <c r="N161" s="910" t="s">
        <v>669</v>
      </c>
      <c r="O161" s="911">
        <f>'사. 임직원보수 일람표'!H18</f>
        <v>3353000</v>
      </c>
      <c r="P161" s="913" t="s">
        <v>724</v>
      </c>
      <c r="Q161" s="921">
        <v>0.6</v>
      </c>
      <c r="R161" s="913" t="s">
        <v>724</v>
      </c>
      <c r="S161" s="920">
        <v>1</v>
      </c>
      <c r="T161" s="916" t="s">
        <v>345</v>
      </c>
      <c r="U161" s="917">
        <f t="shared" si="7"/>
        <v>2011800</v>
      </c>
      <c r="AE161" s="1054"/>
    </row>
    <row r="162" spans="1:31" ht="21.75" hidden="1" customHeight="1" x14ac:dyDescent="0.15">
      <c r="A162" s="569"/>
      <c r="B162" s="570"/>
      <c r="C162" s="570"/>
      <c r="D162" s="571"/>
      <c r="E162" s="572"/>
      <c r="F162" s="573"/>
      <c r="G162" s="942"/>
      <c r="H162" s="602"/>
      <c r="I162" s="574"/>
      <c r="J162" s="574"/>
      <c r="K162" s="955"/>
      <c r="L162" s="1217" t="s">
        <v>670</v>
      </c>
      <c r="M162" s="910"/>
      <c r="N162" s="910" t="s">
        <v>672</v>
      </c>
      <c r="O162" s="911">
        <f>'사. 임직원보수 일람표'!H20</f>
        <v>2828000</v>
      </c>
      <c r="P162" s="913" t="s">
        <v>724</v>
      </c>
      <c r="Q162" s="921">
        <v>0.6</v>
      </c>
      <c r="R162" s="913" t="s">
        <v>724</v>
      </c>
      <c r="S162" s="920">
        <v>2</v>
      </c>
      <c r="T162" s="916" t="s">
        <v>345</v>
      </c>
      <c r="U162" s="917">
        <f t="shared" si="7"/>
        <v>3393600</v>
      </c>
      <c r="AE162" s="1054"/>
    </row>
    <row r="163" spans="1:31" ht="21.75" hidden="1" customHeight="1" x14ac:dyDescent="0.15">
      <c r="A163" s="569"/>
      <c r="B163" s="570"/>
      <c r="C163" s="570"/>
      <c r="D163" s="571"/>
      <c r="E163" s="572"/>
      <c r="F163" s="573"/>
      <c r="G163" s="942"/>
      <c r="H163" s="602"/>
      <c r="I163" s="574"/>
      <c r="J163" s="574"/>
      <c r="K163" s="955"/>
      <c r="L163" s="1217" t="s">
        <v>673</v>
      </c>
      <c r="M163" s="910"/>
      <c r="N163" s="910" t="s">
        <v>674</v>
      </c>
      <c r="O163" s="911">
        <f>'사. 임직원보수 일람표'!H21</f>
        <v>3353000</v>
      </c>
      <c r="P163" s="913" t="s">
        <v>724</v>
      </c>
      <c r="Q163" s="921">
        <v>0.6</v>
      </c>
      <c r="R163" s="913" t="s">
        <v>724</v>
      </c>
      <c r="S163" s="920">
        <v>1</v>
      </c>
      <c r="T163" s="916" t="s">
        <v>345</v>
      </c>
      <c r="U163" s="917">
        <f t="shared" si="7"/>
        <v>2011800</v>
      </c>
      <c r="AE163" s="1054"/>
    </row>
    <row r="164" spans="1:31" ht="21.75" hidden="1" customHeight="1" x14ac:dyDescent="0.15">
      <c r="A164" s="569"/>
      <c r="B164" s="570"/>
      <c r="C164" s="570"/>
      <c r="D164" s="571"/>
      <c r="E164" s="572"/>
      <c r="F164" s="573"/>
      <c r="G164" s="942"/>
      <c r="H164" s="602"/>
      <c r="I164" s="574"/>
      <c r="J164" s="574"/>
      <c r="K164" s="955"/>
      <c r="L164" s="1217" t="s">
        <v>673</v>
      </c>
      <c r="M164" s="910"/>
      <c r="N164" s="910" t="s">
        <v>674</v>
      </c>
      <c r="O164" s="911">
        <f>'사. 임직원보수 일람표'!H22</f>
        <v>3422000</v>
      </c>
      <c r="P164" s="913" t="s">
        <v>724</v>
      </c>
      <c r="Q164" s="921">
        <v>0.6</v>
      </c>
      <c r="R164" s="913" t="s">
        <v>724</v>
      </c>
      <c r="S164" s="920">
        <v>1</v>
      </c>
      <c r="T164" s="916" t="s">
        <v>345</v>
      </c>
      <c r="U164" s="917">
        <f t="shared" si="7"/>
        <v>2053200</v>
      </c>
      <c r="AE164" s="1054"/>
    </row>
    <row r="165" spans="1:31" ht="21.75" hidden="1" customHeight="1" x14ac:dyDescent="0.15">
      <c r="A165" s="569"/>
      <c r="B165" s="570"/>
      <c r="C165" s="570"/>
      <c r="D165" s="571"/>
      <c r="E165" s="572"/>
      <c r="F165" s="573"/>
      <c r="G165" s="942"/>
      <c r="H165" s="602"/>
      <c r="I165" s="574"/>
      <c r="J165" s="574"/>
      <c r="K165" s="955"/>
      <c r="L165" s="1217" t="s">
        <v>675</v>
      </c>
      <c r="M165" s="910" t="s">
        <v>660</v>
      </c>
      <c r="N165" s="910" t="s">
        <v>676</v>
      </c>
      <c r="O165" s="911">
        <f>'사. 임직원보수 일람표'!H23</f>
        <v>3552000</v>
      </c>
      <c r="P165" s="913" t="s">
        <v>724</v>
      </c>
      <c r="Q165" s="921">
        <v>0.6</v>
      </c>
      <c r="R165" s="913" t="s">
        <v>724</v>
      </c>
      <c r="S165" s="920">
        <v>1</v>
      </c>
      <c r="T165" s="916" t="s">
        <v>345</v>
      </c>
      <c r="U165" s="917">
        <f t="shared" si="7"/>
        <v>2131200</v>
      </c>
      <c r="AE165" s="1054"/>
    </row>
    <row r="166" spans="1:31" ht="21.75" hidden="1" customHeight="1" x14ac:dyDescent="0.15">
      <c r="A166" s="569"/>
      <c r="B166" s="570"/>
      <c r="C166" s="570"/>
      <c r="D166" s="571"/>
      <c r="E166" s="572"/>
      <c r="F166" s="573"/>
      <c r="G166" s="942"/>
      <c r="H166" s="602"/>
      <c r="I166" s="574"/>
      <c r="J166" s="574"/>
      <c r="K166" s="955"/>
      <c r="L166" s="1217" t="s">
        <v>675</v>
      </c>
      <c r="M166" s="910" t="s">
        <v>660</v>
      </c>
      <c r="N166" s="910" t="s">
        <v>676</v>
      </c>
      <c r="O166" s="911">
        <f>'사. 임직원보수 일람표'!H24</f>
        <v>3608000</v>
      </c>
      <c r="P166" s="913" t="s">
        <v>724</v>
      </c>
      <c r="Q166" s="921">
        <v>0.6</v>
      </c>
      <c r="R166" s="913" t="s">
        <v>724</v>
      </c>
      <c r="S166" s="920">
        <v>1</v>
      </c>
      <c r="T166" s="916" t="s">
        <v>345</v>
      </c>
      <c r="U166" s="917">
        <f t="shared" si="7"/>
        <v>2164800</v>
      </c>
      <c r="AE166" s="1054"/>
    </row>
    <row r="167" spans="1:31" ht="21.75" hidden="1" customHeight="1" x14ac:dyDescent="0.15">
      <c r="A167" s="569"/>
      <c r="B167" s="570"/>
      <c r="C167" s="570"/>
      <c r="D167" s="571"/>
      <c r="E167" s="572"/>
      <c r="F167" s="573"/>
      <c r="G167" s="942"/>
      <c r="H167" s="602"/>
      <c r="I167" s="574"/>
      <c r="J167" s="574"/>
      <c r="K167" s="955"/>
      <c r="L167" s="1217" t="s">
        <v>665</v>
      </c>
      <c r="M167" s="910" t="s">
        <v>663</v>
      </c>
      <c r="N167" s="910" t="s">
        <v>677</v>
      </c>
      <c r="O167" s="911">
        <f>'사. 임직원보수 일람표'!H25</f>
        <v>2984000</v>
      </c>
      <c r="P167" s="913" t="s">
        <v>724</v>
      </c>
      <c r="Q167" s="921">
        <v>0.6</v>
      </c>
      <c r="R167" s="913" t="s">
        <v>724</v>
      </c>
      <c r="S167" s="920">
        <v>1</v>
      </c>
      <c r="T167" s="916" t="s">
        <v>345</v>
      </c>
      <c r="U167" s="917">
        <f t="shared" si="7"/>
        <v>1790400</v>
      </c>
      <c r="AE167" s="1054"/>
    </row>
    <row r="168" spans="1:31" ht="21.75" hidden="1" customHeight="1" x14ac:dyDescent="0.15">
      <c r="A168" s="569"/>
      <c r="B168" s="570"/>
      <c r="C168" s="570"/>
      <c r="D168" s="571"/>
      <c r="E168" s="572"/>
      <c r="F168" s="573"/>
      <c r="G168" s="942"/>
      <c r="H168" s="602"/>
      <c r="I168" s="574"/>
      <c r="J168" s="574"/>
      <c r="K168" s="955"/>
      <c r="L168" s="1217" t="s">
        <v>665</v>
      </c>
      <c r="M168" s="910" t="s">
        <v>663</v>
      </c>
      <c r="N168" s="910" t="s">
        <v>677</v>
      </c>
      <c r="O168" s="911">
        <f>'사. 임직원보수 일람표'!H26</f>
        <v>3051000</v>
      </c>
      <c r="P168" s="913" t="s">
        <v>724</v>
      </c>
      <c r="Q168" s="921">
        <v>0.6</v>
      </c>
      <c r="R168" s="913" t="s">
        <v>724</v>
      </c>
      <c r="S168" s="920">
        <v>1</v>
      </c>
      <c r="T168" s="916" t="s">
        <v>345</v>
      </c>
      <c r="U168" s="917">
        <f t="shared" si="7"/>
        <v>1830600</v>
      </c>
      <c r="AE168" s="1054"/>
    </row>
    <row r="169" spans="1:31" ht="21.75" hidden="1" customHeight="1" x14ac:dyDescent="0.15">
      <c r="A169" s="569"/>
      <c r="B169" s="570"/>
      <c r="C169" s="570"/>
      <c r="D169" s="571"/>
      <c r="E169" s="572"/>
      <c r="F169" s="573"/>
      <c r="G169" s="942"/>
      <c r="H169" s="602"/>
      <c r="I169" s="574"/>
      <c r="J169" s="574"/>
      <c r="K169" s="955"/>
      <c r="L169" s="1217" t="s">
        <v>678</v>
      </c>
      <c r="M169" s="910"/>
      <c r="N169" s="910" t="s">
        <v>679</v>
      </c>
      <c r="O169" s="911">
        <f>'사. 임직원보수 일람표'!H27</f>
        <v>2851000</v>
      </c>
      <c r="P169" s="913" t="s">
        <v>724</v>
      </c>
      <c r="Q169" s="921">
        <v>0.6</v>
      </c>
      <c r="R169" s="913" t="s">
        <v>724</v>
      </c>
      <c r="S169" s="920">
        <v>1</v>
      </c>
      <c r="T169" s="916" t="s">
        <v>345</v>
      </c>
      <c r="U169" s="917">
        <f t="shared" si="7"/>
        <v>1710600</v>
      </c>
      <c r="AE169" s="1054"/>
    </row>
    <row r="170" spans="1:31" ht="21.75" hidden="1" customHeight="1" x14ac:dyDescent="0.15">
      <c r="A170" s="569"/>
      <c r="B170" s="570"/>
      <c r="C170" s="570"/>
      <c r="D170" s="571"/>
      <c r="E170" s="572"/>
      <c r="F170" s="573"/>
      <c r="G170" s="942"/>
      <c r="H170" s="602"/>
      <c r="I170" s="574"/>
      <c r="J170" s="574"/>
      <c r="K170" s="955"/>
      <c r="L170" s="1217" t="s">
        <v>678</v>
      </c>
      <c r="M170" s="910"/>
      <c r="N170" s="910" t="s">
        <v>679</v>
      </c>
      <c r="O170" s="911">
        <f>'사. 임직원보수 일람표'!H28</f>
        <v>2912000</v>
      </c>
      <c r="P170" s="913" t="s">
        <v>724</v>
      </c>
      <c r="Q170" s="921">
        <v>0.6</v>
      </c>
      <c r="R170" s="913" t="s">
        <v>724</v>
      </c>
      <c r="S170" s="920">
        <v>1</v>
      </c>
      <c r="T170" s="916" t="s">
        <v>345</v>
      </c>
      <c r="U170" s="917">
        <f t="shared" si="7"/>
        <v>1747200</v>
      </c>
      <c r="AE170" s="1054"/>
    </row>
    <row r="171" spans="1:31" ht="21.75" hidden="1" customHeight="1" x14ac:dyDescent="0.15">
      <c r="A171" s="569"/>
      <c r="B171" s="570"/>
      <c r="C171" s="570"/>
      <c r="D171" s="571"/>
      <c r="E171" s="572"/>
      <c r="F171" s="573"/>
      <c r="G171" s="942"/>
      <c r="H171" s="602"/>
      <c r="I171" s="574"/>
      <c r="J171" s="574"/>
      <c r="K171" s="955"/>
      <c r="L171" s="1217" t="s">
        <v>680</v>
      </c>
      <c r="M171" s="910" t="s">
        <v>663</v>
      </c>
      <c r="N171" s="910" t="s">
        <v>681</v>
      </c>
      <c r="O171" s="911">
        <f>'사. 임직원보수 일람표'!H30</f>
        <v>2851000</v>
      </c>
      <c r="P171" s="913" t="s">
        <v>724</v>
      </c>
      <c r="Q171" s="921">
        <v>0.6</v>
      </c>
      <c r="R171" s="913" t="s">
        <v>724</v>
      </c>
      <c r="S171" s="920">
        <v>2</v>
      </c>
      <c r="T171" s="916" t="s">
        <v>345</v>
      </c>
      <c r="U171" s="917">
        <f t="shared" si="7"/>
        <v>3421200</v>
      </c>
      <c r="AE171" s="1054"/>
    </row>
    <row r="172" spans="1:31" ht="21.75" hidden="1" customHeight="1" x14ac:dyDescent="0.15">
      <c r="A172" s="569"/>
      <c r="B172" s="570"/>
      <c r="C172" s="570"/>
      <c r="D172" s="571"/>
      <c r="E172" s="572"/>
      <c r="F172" s="573"/>
      <c r="G172" s="942"/>
      <c r="H172" s="602"/>
      <c r="I172" s="574"/>
      <c r="J172" s="574"/>
      <c r="K172" s="955"/>
      <c r="L172" s="1217" t="s">
        <v>680</v>
      </c>
      <c r="M172" s="910"/>
      <c r="N172" s="910" t="s">
        <v>682</v>
      </c>
      <c r="O172" s="911">
        <f>'사. 임직원보수 일람표'!H31</f>
        <v>2971000</v>
      </c>
      <c r="P172" s="913" t="s">
        <v>724</v>
      </c>
      <c r="Q172" s="921">
        <v>0.6</v>
      </c>
      <c r="R172" s="913" t="s">
        <v>724</v>
      </c>
      <c r="S172" s="920">
        <v>1</v>
      </c>
      <c r="T172" s="916" t="s">
        <v>345</v>
      </c>
      <c r="U172" s="917">
        <f t="shared" si="7"/>
        <v>1782600</v>
      </c>
      <c r="AE172" s="1054"/>
    </row>
    <row r="173" spans="1:31" ht="21.75" hidden="1" customHeight="1" x14ac:dyDescent="0.15">
      <c r="A173" s="569"/>
      <c r="B173" s="570"/>
      <c r="C173" s="570"/>
      <c r="D173" s="571"/>
      <c r="E173" s="572"/>
      <c r="F173" s="573"/>
      <c r="G173" s="942"/>
      <c r="H173" s="602"/>
      <c r="I173" s="574"/>
      <c r="J173" s="574"/>
      <c r="K173" s="955"/>
      <c r="L173" s="1217" t="s">
        <v>680</v>
      </c>
      <c r="M173" s="910"/>
      <c r="N173" s="910" t="s">
        <v>682</v>
      </c>
      <c r="O173" s="911">
        <f>'사. 임직원보수 일람표'!H32</f>
        <v>3024000</v>
      </c>
      <c r="P173" s="913" t="s">
        <v>724</v>
      </c>
      <c r="Q173" s="921">
        <v>0.6</v>
      </c>
      <c r="R173" s="913" t="s">
        <v>724</v>
      </c>
      <c r="S173" s="920">
        <v>1</v>
      </c>
      <c r="T173" s="916" t="s">
        <v>345</v>
      </c>
      <c r="U173" s="917">
        <f t="shared" si="7"/>
        <v>1814400</v>
      </c>
      <c r="AE173" s="1054"/>
    </row>
    <row r="174" spans="1:31" ht="21.75" hidden="1" customHeight="1" x14ac:dyDescent="0.15">
      <c r="A174" s="569"/>
      <c r="B174" s="570"/>
      <c r="C174" s="570"/>
      <c r="D174" s="571"/>
      <c r="E174" s="572"/>
      <c r="F174" s="573"/>
      <c r="G174" s="942"/>
      <c r="H174" s="602"/>
      <c r="I174" s="574"/>
      <c r="J174" s="574"/>
      <c r="K174" s="955"/>
      <c r="L174" s="1217" t="s">
        <v>680</v>
      </c>
      <c r="M174" s="910"/>
      <c r="N174" s="910" t="s">
        <v>683</v>
      </c>
      <c r="O174" s="911">
        <f>'사. 임직원보수 일람표'!H33</f>
        <v>2667000</v>
      </c>
      <c r="P174" s="913" t="s">
        <v>724</v>
      </c>
      <c r="Q174" s="921">
        <v>0.6</v>
      </c>
      <c r="R174" s="913" t="s">
        <v>724</v>
      </c>
      <c r="S174" s="920">
        <v>1</v>
      </c>
      <c r="T174" s="916" t="s">
        <v>345</v>
      </c>
      <c r="U174" s="917">
        <f t="shared" si="7"/>
        <v>1600200</v>
      </c>
      <c r="AE174" s="1054"/>
    </row>
    <row r="175" spans="1:31" ht="21.75" hidden="1" customHeight="1" x14ac:dyDescent="0.15">
      <c r="A175" s="569"/>
      <c r="B175" s="570"/>
      <c r="C175" s="570"/>
      <c r="D175" s="571"/>
      <c r="E175" s="572"/>
      <c r="F175" s="573"/>
      <c r="G175" s="942"/>
      <c r="H175" s="602"/>
      <c r="I175" s="574"/>
      <c r="J175" s="574"/>
      <c r="K175" s="955"/>
      <c r="L175" s="1217" t="s">
        <v>680</v>
      </c>
      <c r="M175" s="910"/>
      <c r="N175" s="910" t="s">
        <v>683</v>
      </c>
      <c r="O175" s="911">
        <f>'사. 임직원보수 일람표'!H34</f>
        <v>2730000</v>
      </c>
      <c r="P175" s="913" t="s">
        <v>724</v>
      </c>
      <c r="Q175" s="921">
        <v>0.6</v>
      </c>
      <c r="R175" s="913" t="s">
        <v>724</v>
      </c>
      <c r="S175" s="920">
        <v>1</v>
      </c>
      <c r="T175" s="916" t="s">
        <v>345</v>
      </c>
      <c r="U175" s="917">
        <f t="shared" si="7"/>
        <v>1638000</v>
      </c>
      <c r="AE175" s="1054"/>
    </row>
    <row r="176" spans="1:31" ht="21.75" hidden="1" customHeight="1" x14ac:dyDescent="0.15">
      <c r="A176" s="569"/>
      <c r="B176" s="570"/>
      <c r="C176" s="570"/>
      <c r="D176" s="571"/>
      <c r="E176" s="572"/>
      <c r="F176" s="573"/>
      <c r="G176" s="942"/>
      <c r="H176" s="602"/>
      <c r="I176" s="574"/>
      <c r="J176" s="574"/>
      <c r="K176" s="955"/>
      <c r="L176" s="1217" t="s">
        <v>680</v>
      </c>
      <c r="M176" s="910"/>
      <c r="N176" s="910" t="s">
        <v>684</v>
      </c>
      <c r="O176" s="911">
        <f>'사. 임직원보수 일람표'!H35</f>
        <v>2851000</v>
      </c>
      <c r="P176" s="913" t="s">
        <v>724</v>
      </c>
      <c r="Q176" s="921">
        <v>0.6</v>
      </c>
      <c r="R176" s="913" t="s">
        <v>724</v>
      </c>
      <c r="S176" s="920">
        <v>1</v>
      </c>
      <c r="T176" s="916" t="s">
        <v>345</v>
      </c>
      <c r="U176" s="917">
        <f t="shared" si="7"/>
        <v>1710600</v>
      </c>
      <c r="AE176" s="1054"/>
    </row>
    <row r="177" spans="1:31" ht="21.75" hidden="1" customHeight="1" x14ac:dyDescent="0.15">
      <c r="A177" s="569"/>
      <c r="B177" s="570"/>
      <c r="C177" s="570"/>
      <c r="D177" s="571"/>
      <c r="E177" s="572"/>
      <c r="F177" s="573"/>
      <c r="G177" s="942"/>
      <c r="H177" s="602"/>
      <c r="I177" s="574"/>
      <c r="J177" s="574"/>
      <c r="K177" s="955"/>
      <c r="L177" s="1217" t="s">
        <v>680</v>
      </c>
      <c r="M177" s="910"/>
      <c r="N177" s="910" t="s">
        <v>684</v>
      </c>
      <c r="O177" s="911">
        <f>'사. 임직원보수 일람표'!H36</f>
        <v>2912000</v>
      </c>
      <c r="P177" s="913" t="s">
        <v>724</v>
      </c>
      <c r="Q177" s="921">
        <v>0.6</v>
      </c>
      <c r="R177" s="913" t="s">
        <v>724</v>
      </c>
      <c r="S177" s="920">
        <v>1</v>
      </c>
      <c r="T177" s="916" t="s">
        <v>345</v>
      </c>
      <c r="U177" s="917">
        <f t="shared" si="7"/>
        <v>1747200</v>
      </c>
      <c r="AE177" s="1054"/>
    </row>
    <row r="178" spans="1:31" ht="21.75" hidden="1" customHeight="1" x14ac:dyDescent="0.15">
      <c r="A178" s="569"/>
      <c r="B178" s="570"/>
      <c r="C178" s="570"/>
      <c r="D178" s="571"/>
      <c r="E178" s="572"/>
      <c r="F178" s="573"/>
      <c r="G178" s="942"/>
      <c r="H178" s="602"/>
      <c r="I178" s="574"/>
      <c r="J178" s="574"/>
      <c r="K178" s="955"/>
      <c r="L178" s="1217" t="s">
        <v>680</v>
      </c>
      <c r="M178" s="910" t="s">
        <v>663</v>
      </c>
      <c r="N178" s="910" t="s">
        <v>685</v>
      </c>
      <c r="O178" s="911">
        <f>'사. 임직원보수 일람표'!H37</f>
        <v>2912000</v>
      </c>
      <c r="P178" s="913" t="s">
        <v>724</v>
      </c>
      <c r="Q178" s="921">
        <v>0.6</v>
      </c>
      <c r="R178" s="913" t="s">
        <v>724</v>
      </c>
      <c r="S178" s="920">
        <v>2</v>
      </c>
      <c r="T178" s="916" t="s">
        <v>345</v>
      </c>
      <c r="U178" s="917">
        <f t="shared" si="7"/>
        <v>3494400</v>
      </c>
      <c r="AE178" s="1054"/>
    </row>
    <row r="179" spans="1:31" ht="21.75" hidden="1" customHeight="1" x14ac:dyDescent="0.15">
      <c r="A179" s="569"/>
      <c r="B179" s="570"/>
      <c r="C179" s="570"/>
      <c r="D179" s="571"/>
      <c r="E179" s="572"/>
      <c r="F179" s="573"/>
      <c r="G179" s="942"/>
      <c r="H179" s="602"/>
      <c r="I179" s="574"/>
      <c r="J179" s="574"/>
      <c r="K179" s="955"/>
      <c r="L179" s="1217" t="s">
        <v>680</v>
      </c>
      <c r="M179" s="910" t="s">
        <v>663</v>
      </c>
      <c r="N179" s="910" t="s">
        <v>686</v>
      </c>
      <c r="O179" s="911">
        <f>'사. 임직원보수 일람표'!H39</f>
        <v>2730000</v>
      </c>
      <c r="P179" s="913" t="s">
        <v>724</v>
      </c>
      <c r="Q179" s="921">
        <v>0.6</v>
      </c>
      <c r="R179" s="913" t="s">
        <v>724</v>
      </c>
      <c r="S179" s="920">
        <v>1</v>
      </c>
      <c r="T179" s="916" t="s">
        <v>345</v>
      </c>
      <c r="U179" s="917">
        <f t="shared" si="7"/>
        <v>1638000</v>
      </c>
      <c r="AE179" s="1054"/>
    </row>
    <row r="180" spans="1:31" ht="21.75" hidden="1" customHeight="1" x14ac:dyDescent="0.15">
      <c r="A180" s="569"/>
      <c r="B180" s="570"/>
      <c r="C180" s="570"/>
      <c r="D180" s="571"/>
      <c r="E180" s="572"/>
      <c r="F180" s="573"/>
      <c r="G180" s="942"/>
      <c r="H180" s="602"/>
      <c r="I180" s="574"/>
      <c r="J180" s="574"/>
      <c r="K180" s="955"/>
      <c r="L180" s="1217" t="s">
        <v>680</v>
      </c>
      <c r="M180" s="910" t="s">
        <v>663</v>
      </c>
      <c r="N180" s="910" t="s">
        <v>686</v>
      </c>
      <c r="O180" s="911">
        <f>'사. 임직원보수 일람표'!H40</f>
        <v>2789000</v>
      </c>
      <c r="P180" s="913" t="s">
        <v>724</v>
      </c>
      <c r="Q180" s="921">
        <v>0.6</v>
      </c>
      <c r="R180" s="913" t="s">
        <v>724</v>
      </c>
      <c r="S180" s="920">
        <v>1</v>
      </c>
      <c r="T180" s="916" t="s">
        <v>345</v>
      </c>
      <c r="U180" s="917">
        <f t="shared" si="7"/>
        <v>1673400</v>
      </c>
      <c r="AE180" s="1054"/>
    </row>
    <row r="181" spans="1:31" ht="21.75" hidden="1" customHeight="1" x14ac:dyDescent="0.15">
      <c r="A181" s="569"/>
      <c r="B181" s="570"/>
      <c r="C181" s="570"/>
      <c r="D181" s="571"/>
      <c r="E181" s="572"/>
      <c r="F181" s="573"/>
      <c r="G181" s="942"/>
      <c r="H181" s="602"/>
      <c r="I181" s="574"/>
      <c r="J181" s="574"/>
      <c r="K181" s="955"/>
      <c r="L181" s="1217" t="s">
        <v>680</v>
      </c>
      <c r="M181" s="910" t="s">
        <v>663</v>
      </c>
      <c r="N181" s="910" t="s">
        <v>687</v>
      </c>
      <c r="O181" s="911">
        <f>'사. 임직원보수 일람표'!H41</f>
        <v>2616000</v>
      </c>
      <c r="P181" s="913" t="s">
        <v>724</v>
      </c>
      <c r="Q181" s="921">
        <v>0.6</v>
      </c>
      <c r="R181" s="913" t="s">
        <v>724</v>
      </c>
      <c r="S181" s="920">
        <v>1</v>
      </c>
      <c r="T181" s="916" t="s">
        <v>345</v>
      </c>
      <c r="U181" s="917">
        <f t="shared" si="7"/>
        <v>1569600</v>
      </c>
      <c r="AE181" s="1054"/>
    </row>
    <row r="182" spans="1:31" ht="21.75" hidden="1" customHeight="1" x14ac:dyDescent="0.15">
      <c r="A182" s="569"/>
      <c r="B182" s="570"/>
      <c r="C182" s="570"/>
      <c r="D182" s="571"/>
      <c r="E182" s="572"/>
      <c r="F182" s="573"/>
      <c r="G182" s="942"/>
      <c r="H182" s="602"/>
      <c r="I182" s="574"/>
      <c r="J182" s="574"/>
      <c r="K182" s="955"/>
      <c r="L182" s="1217" t="s">
        <v>680</v>
      </c>
      <c r="M182" s="910" t="s">
        <v>663</v>
      </c>
      <c r="N182" s="910" t="s">
        <v>687</v>
      </c>
      <c r="O182" s="911">
        <f>'사. 임직원보수 일람표'!H42</f>
        <v>2667000</v>
      </c>
      <c r="P182" s="913" t="s">
        <v>724</v>
      </c>
      <c r="Q182" s="921">
        <v>0.6</v>
      </c>
      <c r="R182" s="913" t="s">
        <v>724</v>
      </c>
      <c r="S182" s="920">
        <v>1</v>
      </c>
      <c r="T182" s="916" t="s">
        <v>345</v>
      </c>
      <c r="U182" s="917">
        <f t="shared" si="7"/>
        <v>1600200</v>
      </c>
      <c r="AE182" s="1054"/>
    </row>
    <row r="183" spans="1:31" ht="21.75" hidden="1" customHeight="1" x14ac:dyDescent="0.15">
      <c r="A183" s="569"/>
      <c r="B183" s="570"/>
      <c r="C183" s="570"/>
      <c r="D183" s="571"/>
      <c r="E183" s="572"/>
      <c r="F183" s="573"/>
      <c r="G183" s="942"/>
      <c r="H183" s="602"/>
      <c r="I183" s="574"/>
      <c r="J183" s="574"/>
      <c r="K183" s="955"/>
      <c r="L183" s="1217" t="s">
        <v>680</v>
      </c>
      <c r="M183" s="910"/>
      <c r="N183" s="910" t="s">
        <v>689</v>
      </c>
      <c r="O183" s="911">
        <f>'사. 임직원보수 일람표'!H43</f>
        <v>2667000</v>
      </c>
      <c r="P183" s="913" t="s">
        <v>724</v>
      </c>
      <c r="Q183" s="921">
        <v>0.6</v>
      </c>
      <c r="R183" s="913" t="s">
        <v>724</v>
      </c>
      <c r="S183" s="920">
        <v>1</v>
      </c>
      <c r="T183" s="916" t="s">
        <v>345</v>
      </c>
      <c r="U183" s="917">
        <f t="shared" si="7"/>
        <v>1600200</v>
      </c>
      <c r="AE183" s="1054"/>
    </row>
    <row r="184" spans="1:31" ht="21.75" hidden="1" customHeight="1" x14ac:dyDescent="0.15">
      <c r="A184" s="569"/>
      <c r="B184" s="570"/>
      <c r="C184" s="570"/>
      <c r="D184" s="571"/>
      <c r="E184" s="572"/>
      <c r="F184" s="573"/>
      <c r="G184" s="942"/>
      <c r="H184" s="602"/>
      <c r="I184" s="574"/>
      <c r="J184" s="574"/>
      <c r="K184" s="955"/>
      <c r="L184" s="1217" t="s">
        <v>680</v>
      </c>
      <c r="M184" s="910"/>
      <c r="N184" s="910" t="s">
        <v>689</v>
      </c>
      <c r="O184" s="911">
        <f>'사. 임직원보수 일람표'!H44</f>
        <v>2730000</v>
      </c>
      <c r="P184" s="913" t="s">
        <v>724</v>
      </c>
      <c r="Q184" s="921">
        <v>0.6</v>
      </c>
      <c r="R184" s="913" t="s">
        <v>724</v>
      </c>
      <c r="S184" s="920">
        <v>1</v>
      </c>
      <c r="T184" s="916" t="s">
        <v>345</v>
      </c>
      <c r="U184" s="917">
        <f t="shared" si="7"/>
        <v>1638000</v>
      </c>
      <c r="AE184" s="1054"/>
    </row>
    <row r="185" spans="1:31" ht="21.75" hidden="1" customHeight="1" x14ac:dyDescent="0.15">
      <c r="A185" s="569"/>
      <c r="B185" s="570"/>
      <c r="C185" s="570"/>
      <c r="D185" s="571"/>
      <c r="E185" s="572"/>
      <c r="F185" s="573"/>
      <c r="G185" s="942"/>
      <c r="H185" s="602"/>
      <c r="I185" s="574"/>
      <c r="J185" s="574"/>
      <c r="K185" s="955"/>
      <c r="L185" s="1217" t="s">
        <v>680</v>
      </c>
      <c r="M185" s="910"/>
      <c r="N185" s="910" t="s">
        <v>690</v>
      </c>
      <c r="O185" s="911">
        <f>'사. 임직원보수 일람표'!H45</f>
        <v>2730000</v>
      </c>
      <c r="P185" s="913" t="s">
        <v>724</v>
      </c>
      <c r="Q185" s="921">
        <v>0.6</v>
      </c>
      <c r="R185" s="913" t="s">
        <v>724</v>
      </c>
      <c r="S185" s="920">
        <v>1</v>
      </c>
      <c r="T185" s="916" t="s">
        <v>345</v>
      </c>
      <c r="U185" s="917">
        <f t="shared" si="7"/>
        <v>1638000</v>
      </c>
      <c r="AE185" s="1054"/>
    </row>
    <row r="186" spans="1:31" ht="21.75" hidden="1" customHeight="1" x14ac:dyDescent="0.15">
      <c r="A186" s="569"/>
      <c r="B186" s="570"/>
      <c r="C186" s="570"/>
      <c r="D186" s="571"/>
      <c r="E186" s="572"/>
      <c r="F186" s="573"/>
      <c r="G186" s="942"/>
      <c r="H186" s="602"/>
      <c r="I186" s="574"/>
      <c r="J186" s="574"/>
      <c r="K186" s="955"/>
      <c r="L186" s="1217" t="s">
        <v>680</v>
      </c>
      <c r="M186" s="910"/>
      <c r="N186" s="910" t="s">
        <v>690</v>
      </c>
      <c r="O186" s="911">
        <f>'사. 임직원보수 일람표'!H46</f>
        <v>2789000</v>
      </c>
      <c r="P186" s="913" t="s">
        <v>724</v>
      </c>
      <c r="Q186" s="921">
        <v>0.6</v>
      </c>
      <c r="R186" s="913" t="s">
        <v>724</v>
      </c>
      <c r="S186" s="920">
        <v>1</v>
      </c>
      <c r="T186" s="916" t="s">
        <v>345</v>
      </c>
      <c r="U186" s="917">
        <f t="shared" si="7"/>
        <v>1673400</v>
      </c>
      <c r="AE186" s="1054"/>
    </row>
    <row r="187" spans="1:31" ht="21.75" hidden="1" customHeight="1" x14ac:dyDescent="0.15">
      <c r="A187" s="569"/>
      <c r="B187" s="570"/>
      <c r="C187" s="570"/>
      <c r="D187" s="571"/>
      <c r="E187" s="572"/>
      <c r="F187" s="573"/>
      <c r="G187" s="942"/>
      <c r="H187" s="602"/>
      <c r="I187" s="574"/>
      <c r="J187" s="574"/>
      <c r="K187" s="955"/>
      <c r="L187" s="1217" t="s">
        <v>680</v>
      </c>
      <c r="M187" s="910"/>
      <c r="N187" s="910" t="s">
        <v>691</v>
      </c>
      <c r="O187" s="911">
        <f>'사. 임직원보수 일람표'!H47</f>
        <v>2616000</v>
      </c>
      <c r="P187" s="913" t="s">
        <v>724</v>
      </c>
      <c r="Q187" s="921">
        <v>0.6</v>
      </c>
      <c r="R187" s="913" t="s">
        <v>724</v>
      </c>
      <c r="S187" s="920">
        <v>1</v>
      </c>
      <c r="T187" s="916" t="s">
        <v>345</v>
      </c>
      <c r="U187" s="917">
        <f t="shared" si="7"/>
        <v>1569600</v>
      </c>
      <c r="AE187" s="1054"/>
    </row>
    <row r="188" spans="1:31" ht="21.75" hidden="1" customHeight="1" x14ac:dyDescent="0.15">
      <c r="A188" s="569"/>
      <c r="B188" s="570"/>
      <c r="C188" s="570"/>
      <c r="D188" s="571"/>
      <c r="E188" s="572"/>
      <c r="F188" s="573"/>
      <c r="G188" s="942"/>
      <c r="H188" s="602"/>
      <c r="I188" s="574"/>
      <c r="J188" s="574"/>
      <c r="K188" s="955"/>
      <c r="L188" s="1217" t="s">
        <v>680</v>
      </c>
      <c r="M188" s="910"/>
      <c r="N188" s="910" t="s">
        <v>691</v>
      </c>
      <c r="O188" s="911">
        <f>'사. 임직원보수 일람표'!H48</f>
        <v>2667000</v>
      </c>
      <c r="P188" s="913" t="s">
        <v>724</v>
      </c>
      <c r="Q188" s="921">
        <v>0.6</v>
      </c>
      <c r="R188" s="913" t="s">
        <v>724</v>
      </c>
      <c r="S188" s="920">
        <v>1</v>
      </c>
      <c r="T188" s="916" t="s">
        <v>345</v>
      </c>
      <c r="U188" s="917">
        <f t="shared" si="7"/>
        <v>1600200</v>
      </c>
      <c r="AE188" s="1054"/>
    </row>
    <row r="189" spans="1:31" ht="21.75" hidden="1" customHeight="1" x14ac:dyDescent="0.15">
      <c r="A189" s="569"/>
      <c r="B189" s="570"/>
      <c r="C189" s="570"/>
      <c r="D189" s="571"/>
      <c r="E189" s="572"/>
      <c r="F189" s="573"/>
      <c r="G189" s="942"/>
      <c r="H189" s="602"/>
      <c r="I189" s="574"/>
      <c r="J189" s="574"/>
      <c r="K189" s="955"/>
      <c r="L189" s="1217" t="s">
        <v>680</v>
      </c>
      <c r="M189" s="910"/>
      <c r="N189" s="910" t="s">
        <v>692</v>
      </c>
      <c r="O189" s="911">
        <f>'사. 임직원보수 일람표'!H49</f>
        <v>2478000</v>
      </c>
      <c r="P189" s="913" t="s">
        <v>724</v>
      </c>
      <c r="Q189" s="921">
        <v>0.6</v>
      </c>
      <c r="R189" s="913" t="s">
        <v>724</v>
      </c>
      <c r="S189" s="920">
        <v>1</v>
      </c>
      <c r="T189" s="916" t="s">
        <v>345</v>
      </c>
      <c r="U189" s="917">
        <f t="shared" si="7"/>
        <v>1486800</v>
      </c>
      <c r="AE189" s="1054"/>
    </row>
    <row r="190" spans="1:31" ht="21.75" hidden="1" customHeight="1" x14ac:dyDescent="0.15">
      <c r="A190" s="569"/>
      <c r="B190" s="570"/>
      <c r="C190" s="570"/>
      <c r="D190" s="571"/>
      <c r="E190" s="572"/>
      <c r="F190" s="573"/>
      <c r="G190" s="942"/>
      <c r="H190" s="602"/>
      <c r="I190" s="574"/>
      <c r="J190" s="574"/>
      <c r="K190" s="955"/>
      <c r="L190" s="1217" t="s">
        <v>680</v>
      </c>
      <c r="M190" s="910"/>
      <c r="N190" s="910" t="s">
        <v>692</v>
      </c>
      <c r="O190" s="911">
        <f>'사. 임직원보수 일람표'!H50</f>
        <v>2555000</v>
      </c>
      <c r="P190" s="913" t="s">
        <v>724</v>
      </c>
      <c r="Q190" s="921">
        <v>0.6</v>
      </c>
      <c r="R190" s="913" t="s">
        <v>724</v>
      </c>
      <c r="S190" s="920">
        <v>1</v>
      </c>
      <c r="T190" s="916" t="s">
        <v>345</v>
      </c>
      <c r="U190" s="917">
        <f t="shared" si="7"/>
        <v>1533000</v>
      </c>
      <c r="AE190" s="1054"/>
    </row>
    <row r="191" spans="1:31" ht="21.75" hidden="1" customHeight="1" x14ac:dyDescent="0.15">
      <c r="A191" s="569"/>
      <c r="B191" s="570"/>
      <c r="C191" s="570"/>
      <c r="D191" s="571"/>
      <c r="E191" s="572"/>
      <c r="F191" s="573"/>
      <c r="G191" s="942"/>
      <c r="H191" s="602"/>
      <c r="I191" s="574"/>
      <c r="J191" s="574"/>
      <c r="K191" s="955"/>
      <c r="L191" s="1217" t="s">
        <v>680</v>
      </c>
      <c r="M191" s="910"/>
      <c r="N191" s="910" t="s">
        <v>693</v>
      </c>
      <c r="O191" s="911">
        <f>'사. 임직원보수 일람표'!H51</f>
        <v>2310000</v>
      </c>
      <c r="P191" s="913" t="s">
        <v>724</v>
      </c>
      <c r="Q191" s="921">
        <v>0.6</v>
      </c>
      <c r="R191" s="913" t="s">
        <v>724</v>
      </c>
      <c r="S191" s="920">
        <v>1</v>
      </c>
      <c r="T191" s="916" t="s">
        <v>345</v>
      </c>
      <c r="U191" s="917">
        <f t="shared" si="7"/>
        <v>1386000</v>
      </c>
      <c r="AE191" s="1054"/>
    </row>
    <row r="192" spans="1:31" ht="21.75" hidden="1" customHeight="1" x14ac:dyDescent="0.15">
      <c r="A192" s="569"/>
      <c r="B192" s="570"/>
      <c r="C192" s="570"/>
      <c r="D192" s="571"/>
      <c r="E192" s="572"/>
      <c r="F192" s="573"/>
      <c r="G192" s="942"/>
      <c r="H192" s="602"/>
      <c r="I192" s="574"/>
      <c r="J192" s="574"/>
      <c r="K192" s="955"/>
      <c r="L192" s="1217" t="s">
        <v>680</v>
      </c>
      <c r="M192" s="910"/>
      <c r="N192" s="910" t="s">
        <v>693</v>
      </c>
      <c r="O192" s="911">
        <f>'사. 임직원보수 일람표'!H52</f>
        <v>2396000</v>
      </c>
      <c r="P192" s="913" t="s">
        <v>724</v>
      </c>
      <c r="Q192" s="921">
        <v>0.6</v>
      </c>
      <c r="R192" s="913" t="s">
        <v>724</v>
      </c>
      <c r="S192" s="920">
        <v>1</v>
      </c>
      <c r="T192" s="916" t="s">
        <v>345</v>
      </c>
      <c r="U192" s="917">
        <f t="shared" si="7"/>
        <v>1437600</v>
      </c>
      <c r="AE192" s="1054"/>
    </row>
    <row r="193" spans="1:31" ht="21.75" hidden="1" customHeight="1" x14ac:dyDescent="0.15">
      <c r="A193" s="569"/>
      <c r="B193" s="570"/>
      <c r="C193" s="570"/>
      <c r="D193" s="571"/>
      <c r="E193" s="572"/>
      <c r="F193" s="573"/>
      <c r="G193" s="942"/>
      <c r="H193" s="602"/>
      <c r="I193" s="574"/>
      <c r="J193" s="574"/>
      <c r="K193" s="955"/>
      <c r="L193" s="1217" t="s">
        <v>680</v>
      </c>
      <c r="M193" s="910"/>
      <c r="N193" s="910" t="s">
        <v>694</v>
      </c>
      <c r="O193" s="911">
        <f>'사. 임직원보수 일람표'!H53</f>
        <v>2234000</v>
      </c>
      <c r="P193" s="913" t="s">
        <v>724</v>
      </c>
      <c r="Q193" s="921">
        <v>0.6</v>
      </c>
      <c r="R193" s="913" t="s">
        <v>724</v>
      </c>
      <c r="S193" s="920">
        <v>1</v>
      </c>
      <c r="T193" s="916" t="s">
        <v>345</v>
      </c>
      <c r="U193" s="917">
        <f t="shared" si="7"/>
        <v>1340400</v>
      </c>
      <c r="AE193" s="1054"/>
    </row>
    <row r="194" spans="1:31" ht="21.75" hidden="1" customHeight="1" x14ac:dyDescent="0.15">
      <c r="A194" s="569"/>
      <c r="B194" s="570"/>
      <c r="C194" s="570"/>
      <c r="D194" s="571"/>
      <c r="E194" s="572"/>
      <c r="F194" s="573"/>
      <c r="G194" s="942"/>
      <c r="H194" s="602"/>
      <c r="I194" s="574"/>
      <c r="J194" s="574"/>
      <c r="K194" s="955"/>
      <c r="L194" s="1217" t="s">
        <v>680</v>
      </c>
      <c r="M194" s="910"/>
      <c r="N194" s="910" t="s">
        <v>694</v>
      </c>
      <c r="O194" s="911">
        <f>'사. 임직원보수 일람표'!H54</f>
        <v>2310000</v>
      </c>
      <c r="P194" s="913" t="s">
        <v>724</v>
      </c>
      <c r="Q194" s="921">
        <v>0.6</v>
      </c>
      <c r="R194" s="913" t="s">
        <v>724</v>
      </c>
      <c r="S194" s="920">
        <v>1</v>
      </c>
      <c r="T194" s="916" t="s">
        <v>345</v>
      </c>
      <c r="U194" s="917">
        <f t="shared" si="7"/>
        <v>1386000</v>
      </c>
      <c r="AE194" s="1054"/>
    </row>
    <row r="195" spans="1:31" ht="21.75" hidden="1" customHeight="1" x14ac:dyDescent="0.15">
      <c r="A195" s="569"/>
      <c r="B195" s="570"/>
      <c r="C195" s="570"/>
      <c r="D195" s="571"/>
      <c r="E195" s="572"/>
      <c r="F195" s="573"/>
      <c r="G195" s="942"/>
      <c r="H195" s="602"/>
      <c r="I195" s="574"/>
      <c r="J195" s="574"/>
      <c r="K195" s="955"/>
      <c r="L195" s="1217" t="s">
        <v>680</v>
      </c>
      <c r="M195" s="910"/>
      <c r="N195" s="910" t="s">
        <v>695</v>
      </c>
      <c r="O195" s="911">
        <f>'사. 임직원보수 일람표'!H55</f>
        <v>2310000</v>
      </c>
      <c r="P195" s="913" t="s">
        <v>724</v>
      </c>
      <c r="Q195" s="921">
        <v>0.6</v>
      </c>
      <c r="R195" s="913" t="s">
        <v>724</v>
      </c>
      <c r="S195" s="920">
        <v>1</v>
      </c>
      <c r="T195" s="916" t="s">
        <v>345</v>
      </c>
      <c r="U195" s="917">
        <f t="shared" si="7"/>
        <v>1386000</v>
      </c>
      <c r="AE195" s="1054"/>
    </row>
    <row r="196" spans="1:31" ht="21.75" hidden="1" customHeight="1" x14ac:dyDescent="0.15">
      <c r="A196" s="569"/>
      <c r="B196" s="570"/>
      <c r="C196" s="570"/>
      <c r="D196" s="571"/>
      <c r="E196" s="572"/>
      <c r="F196" s="573"/>
      <c r="G196" s="942"/>
      <c r="H196" s="602"/>
      <c r="I196" s="574"/>
      <c r="J196" s="574"/>
      <c r="K196" s="955"/>
      <c r="L196" s="1217" t="s">
        <v>680</v>
      </c>
      <c r="M196" s="910"/>
      <c r="N196" s="910" t="s">
        <v>695</v>
      </c>
      <c r="O196" s="911">
        <f>'사. 임직원보수 일람표'!H56</f>
        <v>2396000</v>
      </c>
      <c r="P196" s="913" t="s">
        <v>724</v>
      </c>
      <c r="Q196" s="921">
        <v>0.6</v>
      </c>
      <c r="R196" s="913" t="s">
        <v>724</v>
      </c>
      <c r="S196" s="920">
        <v>1</v>
      </c>
      <c r="T196" s="916" t="s">
        <v>345</v>
      </c>
      <c r="U196" s="917">
        <f t="shared" si="7"/>
        <v>1437600</v>
      </c>
      <c r="AE196" s="1054"/>
    </row>
    <row r="197" spans="1:31" ht="21.75" hidden="1" customHeight="1" x14ac:dyDescent="0.15">
      <c r="A197" s="569"/>
      <c r="B197" s="570"/>
      <c r="C197" s="570"/>
      <c r="D197" s="571"/>
      <c r="E197" s="572"/>
      <c r="F197" s="573"/>
      <c r="G197" s="942"/>
      <c r="H197" s="602"/>
      <c r="I197" s="574"/>
      <c r="J197" s="574"/>
      <c r="K197" s="955"/>
      <c r="L197" s="1217" t="s">
        <v>680</v>
      </c>
      <c r="M197" s="910"/>
      <c r="N197" s="910" t="s">
        <v>1202</v>
      </c>
      <c r="O197" s="911">
        <f>'사. 임직원보수 일람표'!H57</f>
        <v>2478000</v>
      </c>
      <c r="P197" s="913" t="s">
        <v>724</v>
      </c>
      <c r="Q197" s="921">
        <v>0.6</v>
      </c>
      <c r="R197" s="913" t="s">
        <v>724</v>
      </c>
      <c r="S197" s="920">
        <v>2</v>
      </c>
      <c r="T197" s="916" t="s">
        <v>345</v>
      </c>
      <c r="U197" s="917">
        <f t="shared" si="7"/>
        <v>2973600</v>
      </c>
      <c r="AE197" s="1054"/>
    </row>
    <row r="198" spans="1:31" ht="21.75" hidden="1" customHeight="1" x14ac:dyDescent="0.15">
      <c r="A198" s="569"/>
      <c r="B198" s="570"/>
      <c r="C198" s="570"/>
      <c r="D198" s="571"/>
      <c r="E198" s="572"/>
      <c r="F198" s="573"/>
      <c r="G198" s="942"/>
      <c r="H198" s="602"/>
      <c r="I198" s="574"/>
      <c r="J198" s="574"/>
      <c r="K198" s="955"/>
      <c r="L198" s="1217" t="s">
        <v>680</v>
      </c>
      <c r="M198" s="910"/>
      <c r="N198" s="910" t="s">
        <v>1202</v>
      </c>
      <c r="O198" s="911">
        <f>'사. 임직원보수 일람표'!H58</f>
        <v>0</v>
      </c>
      <c r="P198" s="913" t="s">
        <v>724</v>
      </c>
      <c r="Q198" s="921">
        <v>0.6</v>
      </c>
      <c r="R198" s="913" t="s">
        <v>724</v>
      </c>
      <c r="S198" s="920">
        <v>1</v>
      </c>
      <c r="T198" s="916" t="s">
        <v>345</v>
      </c>
      <c r="U198" s="917">
        <f t="shared" si="7"/>
        <v>0</v>
      </c>
      <c r="AE198" s="1054"/>
    </row>
    <row r="199" spans="1:31" ht="21.75" hidden="1" customHeight="1" x14ac:dyDescent="0.15">
      <c r="A199" s="569"/>
      <c r="B199" s="570"/>
      <c r="C199" s="570"/>
      <c r="D199" s="571"/>
      <c r="E199" s="572"/>
      <c r="F199" s="573"/>
      <c r="G199" s="942"/>
      <c r="H199" s="602"/>
      <c r="I199" s="574"/>
      <c r="J199" s="574"/>
      <c r="K199" s="955"/>
      <c r="L199" s="1217" t="s">
        <v>680</v>
      </c>
      <c r="M199" s="910"/>
      <c r="N199" s="910" t="s">
        <v>697</v>
      </c>
      <c r="O199" s="911">
        <f>'사. 임직원보수 일람표'!H59</f>
        <v>2099000</v>
      </c>
      <c r="P199" s="913" t="s">
        <v>724</v>
      </c>
      <c r="Q199" s="921">
        <v>0.6</v>
      </c>
      <c r="R199" s="913" t="s">
        <v>724</v>
      </c>
      <c r="S199" s="920">
        <v>1</v>
      </c>
      <c r="T199" s="916" t="s">
        <v>345</v>
      </c>
      <c r="U199" s="917">
        <f t="shared" si="7"/>
        <v>1259400</v>
      </c>
      <c r="AE199" s="1054"/>
    </row>
    <row r="200" spans="1:31" ht="21.75" hidden="1" customHeight="1" x14ac:dyDescent="0.15">
      <c r="A200" s="569"/>
      <c r="B200" s="570"/>
      <c r="C200" s="570"/>
      <c r="D200" s="571"/>
      <c r="E200" s="572"/>
      <c r="F200" s="573"/>
      <c r="G200" s="942"/>
      <c r="H200" s="602"/>
      <c r="I200" s="574"/>
      <c r="J200" s="574"/>
      <c r="K200" s="955"/>
      <c r="L200" s="1217" t="s">
        <v>680</v>
      </c>
      <c r="M200" s="910"/>
      <c r="N200" s="910" t="s">
        <v>1229</v>
      </c>
      <c r="O200" s="911">
        <f>'사. 임직원보수 일람표'!H60</f>
        <v>2164000</v>
      </c>
      <c r="P200" s="913" t="s">
        <v>724</v>
      </c>
      <c r="Q200" s="921">
        <v>0.6</v>
      </c>
      <c r="R200" s="913" t="s">
        <v>724</v>
      </c>
      <c r="S200" s="920">
        <v>1</v>
      </c>
      <c r="T200" s="916" t="s">
        <v>345</v>
      </c>
      <c r="U200" s="917">
        <f t="shared" si="7"/>
        <v>1298400</v>
      </c>
      <c r="AE200" s="1054"/>
    </row>
    <row r="201" spans="1:31" ht="21.75" hidden="1" customHeight="1" x14ac:dyDescent="0.15">
      <c r="A201" s="569"/>
      <c r="B201" s="570"/>
      <c r="C201" s="570"/>
      <c r="D201" s="571"/>
      <c r="E201" s="572"/>
      <c r="F201" s="573"/>
      <c r="G201" s="942"/>
      <c r="H201" s="602"/>
      <c r="I201" s="574"/>
      <c r="J201" s="574"/>
      <c r="K201" s="955"/>
      <c r="L201" s="1217" t="s">
        <v>680</v>
      </c>
      <c r="M201" s="910"/>
      <c r="N201" s="910" t="s">
        <v>1230</v>
      </c>
      <c r="O201" s="911">
        <f>'사. 임직원보수 일람표'!H61</f>
        <v>2099000</v>
      </c>
      <c r="P201" s="913" t="s">
        <v>724</v>
      </c>
      <c r="Q201" s="921">
        <v>0.6</v>
      </c>
      <c r="R201" s="913" t="s">
        <v>724</v>
      </c>
      <c r="S201" s="920">
        <v>1</v>
      </c>
      <c r="T201" s="916" t="s">
        <v>345</v>
      </c>
      <c r="U201" s="917">
        <f t="shared" si="7"/>
        <v>1259400</v>
      </c>
      <c r="AE201" s="1054"/>
    </row>
    <row r="202" spans="1:31" ht="21.75" hidden="1" customHeight="1" x14ac:dyDescent="0.15">
      <c r="A202" s="569"/>
      <c r="B202" s="570"/>
      <c r="C202" s="570"/>
      <c r="D202" s="571"/>
      <c r="E202" s="572"/>
      <c r="F202" s="573"/>
      <c r="G202" s="942"/>
      <c r="H202" s="602"/>
      <c r="I202" s="574"/>
      <c r="J202" s="574"/>
      <c r="K202" s="955"/>
      <c r="L202" s="1217" t="s">
        <v>680</v>
      </c>
      <c r="M202" s="910"/>
      <c r="N202" s="910" t="s">
        <v>698</v>
      </c>
      <c r="O202" s="911">
        <f>'사. 임직원보수 일람표'!H62</f>
        <v>2164000</v>
      </c>
      <c r="P202" s="913" t="s">
        <v>724</v>
      </c>
      <c r="Q202" s="921">
        <v>0.6</v>
      </c>
      <c r="R202" s="913" t="s">
        <v>724</v>
      </c>
      <c r="S202" s="920">
        <v>1</v>
      </c>
      <c r="T202" s="916" t="s">
        <v>345</v>
      </c>
      <c r="U202" s="917">
        <f t="shared" si="7"/>
        <v>1298400</v>
      </c>
      <c r="AE202" s="1054"/>
    </row>
    <row r="203" spans="1:31" ht="21.75" hidden="1" customHeight="1" x14ac:dyDescent="0.15">
      <c r="A203" s="569"/>
      <c r="B203" s="570"/>
      <c r="C203" s="570"/>
      <c r="D203" s="571"/>
      <c r="E203" s="572"/>
      <c r="F203" s="573"/>
      <c r="G203" s="942"/>
      <c r="H203" s="602"/>
      <c r="I203" s="574"/>
      <c r="J203" s="574"/>
      <c r="K203" s="955"/>
      <c r="L203" s="1217" t="s">
        <v>680</v>
      </c>
      <c r="M203" s="910"/>
      <c r="N203" s="910" t="s">
        <v>1207</v>
      </c>
      <c r="O203" s="911">
        <f>'사. 임직원보수 일람표'!H63</f>
        <v>2036000</v>
      </c>
      <c r="P203" s="913" t="s">
        <v>724</v>
      </c>
      <c r="Q203" s="921">
        <v>0.6</v>
      </c>
      <c r="R203" s="913" t="s">
        <v>724</v>
      </c>
      <c r="S203" s="920">
        <v>1</v>
      </c>
      <c r="T203" s="916" t="s">
        <v>345</v>
      </c>
      <c r="U203" s="917">
        <f t="shared" si="7"/>
        <v>1221600</v>
      </c>
      <c r="AE203" s="1054"/>
    </row>
    <row r="204" spans="1:31" ht="21.75" hidden="1" customHeight="1" x14ac:dyDescent="0.15">
      <c r="A204" s="569"/>
      <c r="B204" s="570"/>
      <c r="C204" s="570"/>
      <c r="D204" s="571"/>
      <c r="E204" s="572"/>
      <c r="F204" s="573"/>
      <c r="G204" s="942"/>
      <c r="H204" s="602"/>
      <c r="I204" s="574"/>
      <c r="J204" s="574"/>
      <c r="K204" s="955"/>
      <c r="L204" s="1217" t="s">
        <v>680</v>
      </c>
      <c r="M204" s="910"/>
      <c r="N204" s="910" t="s">
        <v>1231</v>
      </c>
      <c r="O204" s="911">
        <f>'사. 임직원보수 일람표'!H64</f>
        <v>2099000</v>
      </c>
      <c r="P204" s="913" t="s">
        <v>724</v>
      </c>
      <c r="Q204" s="921">
        <v>0.6</v>
      </c>
      <c r="R204" s="913" t="s">
        <v>724</v>
      </c>
      <c r="S204" s="920">
        <v>1</v>
      </c>
      <c r="T204" s="916" t="s">
        <v>345</v>
      </c>
      <c r="U204" s="917">
        <f t="shared" si="7"/>
        <v>1259400</v>
      </c>
      <c r="AE204" s="1054"/>
    </row>
    <row r="205" spans="1:31" ht="21.75" hidden="1" customHeight="1" x14ac:dyDescent="0.15">
      <c r="A205" s="569"/>
      <c r="B205" s="570"/>
      <c r="C205" s="570"/>
      <c r="D205" s="571"/>
      <c r="E205" s="572"/>
      <c r="F205" s="573"/>
      <c r="G205" s="942"/>
      <c r="H205" s="602"/>
      <c r="I205" s="574"/>
      <c r="J205" s="574"/>
      <c r="K205" s="955"/>
      <c r="L205" s="1217" t="s">
        <v>680</v>
      </c>
      <c r="M205" s="910"/>
      <c r="N205" s="910" t="s">
        <v>1208</v>
      </c>
      <c r="O205" s="911">
        <f>'사. 임직원보수 일람표'!H65</f>
        <v>2099000</v>
      </c>
      <c r="P205" s="913" t="s">
        <v>724</v>
      </c>
      <c r="Q205" s="921">
        <v>0.6</v>
      </c>
      <c r="R205" s="913" t="s">
        <v>724</v>
      </c>
      <c r="S205" s="920">
        <v>1</v>
      </c>
      <c r="T205" s="916" t="s">
        <v>345</v>
      </c>
      <c r="U205" s="917">
        <f t="shared" si="7"/>
        <v>1259400</v>
      </c>
      <c r="AE205" s="1054"/>
    </row>
    <row r="206" spans="1:31" ht="21.75" hidden="1" customHeight="1" x14ac:dyDescent="0.15">
      <c r="A206" s="569"/>
      <c r="B206" s="570"/>
      <c r="C206" s="570"/>
      <c r="D206" s="571"/>
      <c r="E206" s="572"/>
      <c r="F206" s="573"/>
      <c r="G206" s="942"/>
      <c r="H206" s="602"/>
      <c r="I206" s="574"/>
      <c r="J206" s="574"/>
      <c r="K206" s="955"/>
      <c r="L206" s="1217" t="s">
        <v>680</v>
      </c>
      <c r="M206" s="910"/>
      <c r="N206" s="910" t="s">
        <v>1232</v>
      </c>
      <c r="O206" s="911">
        <f>'사. 임직원보수 일람표'!H66</f>
        <v>2164000</v>
      </c>
      <c r="P206" s="913" t="s">
        <v>724</v>
      </c>
      <c r="Q206" s="921">
        <v>0.6</v>
      </c>
      <c r="R206" s="913" t="s">
        <v>724</v>
      </c>
      <c r="S206" s="920">
        <v>1</v>
      </c>
      <c r="T206" s="916" t="s">
        <v>345</v>
      </c>
      <c r="U206" s="917">
        <f t="shared" si="7"/>
        <v>1298400</v>
      </c>
      <c r="AE206" s="1054"/>
    </row>
    <row r="207" spans="1:31" ht="21.75" hidden="1" customHeight="1" x14ac:dyDescent="0.15">
      <c r="A207" s="569"/>
      <c r="B207" s="570"/>
      <c r="C207" s="570"/>
      <c r="D207" s="571"/>
      <c r="E207" s="572"/>
      <c r="F207" s="573"/>
      <c r="G207" s="942"/>
      <c r="H207" s="602"/>
      <c r="I207" s="574"/>
      <c r="J207" s="574"/>
      <c r="K207" s="955"/>
      <c r="L207" s="1217" t="s">
        <v>680</v>
      </c>
      <c r="M207" s="910"/>
      <c r="N207" s="910" t="s">
        <v>1211</v>
      </c>
      <c r="O207" s="911">
        <f>'사. 임직원보수 일람표'!H67</f>
        <v>2164000</v>
      </c>
      <c r="P207" s="913" t="s">
        <v>724</v>
      </c>
      <c r="Q207" s="921">
        <v>0.6</v>
      </c>
      <c r="R207" s="913" t="s">
        <v>724</v>
      </c>
      <c r="S207" s="920">
        <v>2</v>
      </c>
      <c r="T207" s="916" t="s">
        <v>345</v>
      </c>
      <c r="U207" s="917">
        <f t="shared" si="7"/>
        <v>2596800</v>
      </c>
      <c r="AE207" s="1054"/>
    </row>
    <row r="208" spans="1:31" ht="21.75" hidden="1" customHeight="1" x14ac:dyDescent="0.15">
      <c r="A208" s="569"/>
      <c r="B208" s="570"/>
      <c r="C208" s="570"/>
      <c r="D208" s="571"/>
      <c r="E208" s="572"/>
      <c r="F208" s="573"/>
      <c r="G208" s="942"/>
      <c r="H208" s="602"/>
      <c r="I208" s="574"/>
      <c r="J208" s="574"/>
      <c r="K208" s="955"/>
      <c r="L208" s="1217" t="s">
        <v>680</v>
      </c>
      <c r="M208" s="910"/>
      <c r="N208" s="910" t="s">
        <v>1211</v>
      </c>
      <c r="O208" s="911">
        <f>'사. 임직원보수 일람표'!H68</f>
        <v>0</v>
      </c>
      <c r="P208" s="913" t="s">
        <v>724</v>
      </c>
      <c r="Q208" s="921">
        <v>0.6</v>
      </c>
      <c r="R208" s="913" t="s">
        <v>724</v>
      </c>
      <c r="S208" s="920">
        <v>1</v>
      </c>
      <c r="T208" s="916" t="s">
        <v>345</v>
      </c>
      <c r="U208" s="917">
        <f t="shared" si="7"/>
        <v>0</v>
      </c>
      <c r="AE208" s="1054"/>
    </row>
    <row r="209" spans="1:31" ht="21.75" hidden="1" customHeight="1" x14ac:dyDescent="0.15">
      <c r="A209" s="569"/>
      <c r="B209" s="570"/>
      <c r="C209" s="570"/>
      <c r="D209" s="571"/>
      <c r="E209" s="572"/>
      <c r="F209" s="573"/>
      <c r="G209" s="942"/>
      <c r="H209" s="602"/>
      <c r="I209" s="574"/>
      <c r="J209" s="574"/>
      <c r="K209" s="955"/>
      <c r="L209" s="1217" t="s">
        <v>680</v>
      </c>
      <c r="M209" s="910"/>
      <c r="N209" s="910" t="s">
        <v>1212</v>
      </c>
      <c r="O209" s="911">
        <f>'사. 임직원보수 일람표'!H69</f>
        <v>2164000</v>
      </c>
      <c r="P209" s="913" t="s">
        <v>724</v>
      </c>
      <c r="Q209" s="921">
        <v>0.6</v>
      </c>
      <c r="R209" s="913" t="s">
        <v>724</v>
      </c>
      <c r="S209" s="920">
        <v>1</v>
      </c>
      <c r="T209" s="916" t="s">
        <v>345</v>
      </c>
      <c r="U209" s="917">
        <f t="shared" si="7"/>
        <v>1298400</v>
      </c>
      <c r="AE209" s="1054"/>
    </row>
    <row r="210" spans="1:31" ht="21.75" hidden="1" customHeight="1" x14ac:dyDescent="0.15">
      <c r="A210" s="569"/>
      <c r="B210" s="570"/>
      <c r="C210" s="570"/>
      <c r="D210" s="571"/>
      <c r="E210" s="572"/>
      <c r="F210" s="573"/>
      <c r="G210" s="942"/>
      <c r="H210" s="602"/>
      <c r="I210" s="574"/>
      <c r="J210" s="574"/>
      <c r="K210" s="955"/>
      <c r="L210" s="1217" t="s">
        <v>680</v>
      </c>
      <c r="M210" s="910"/>
      <c r="N210" s="910" t="s">
        <v>701</v>
      </c>
      <c r="O210" s="911">
        <f>'사. 임직원보수 일람표'!H70</f>
        <v>2234000</v>
      </c>
      <c r="P210" s="913" t="s">
        <v>724</v>
      </c>
      <c r="Q210" s="921">
        <v>0.6</v>
      </c>
      <c r="R210" s="913" t="s">
        <v>724</v>
      </c>
      <c r="S210" s="920">
        <v>1</v>
      </c>
      <c r="T210" s="916" t="s">
        <v>345</v>
      </c>
      <c r="U210" s="917">
        <f t="shared" si="7"/>
        <v>1340400</v>
      </c>
      <c r="AE210" s="1054"/>
    </row>
    <row r="211" spans="1:31" ht="21.75" hidden="1" customHeight="1" x14ac:dyDescent="0.15">
      <c r="A211" s="569"/>
      <c r="B211" s="570"/>
      <c r="C211" s="570"/>
      <c r="D211" s="571"/>
      <c r="E211" s="572"/>
      <c r="F211" s="573"/>
      <c r="G211" s="942"/>
      <c r="H211" s="602"/>
      <c r="I211" s="574"/>
      <c r="J211" s="574"/>
      <c r="K211" s="955"/>
      <c r="L211" s="1217" t="s">
        <v>680</v>
      </c>
      <c r="M211" s="910"/>
      <c r="N211" s="910" t="s">
        <v>1213</v>
      </c>
      <c r="O211" s="911">
        <f>'사. 임직원보수 일람표'!H71</f>
        <v>2396000</v>
      </c>
      <c r="P211" s="913" t="s">
        <v>724</v>
      </c>
      <c r="Q211" s="921">
        <v>0.6</v>
      </c>
      <c r="R211" s="913" t="s">
        <v>724</v>
      </c>
      <c r="S211" s="920">
        <v>1</v>
      </c>
      <c r="T211" s="916" t="s">
        <v>345</v>
      </c>
      <c r="U211" s="917">
        <f t="shared" si="7"/>
        <v>1437600</v>
      </c>
      <c r="AE211" s="1054"/>
    </row>
    <row r="212" spans="1:31" ht="21.75" hidden="1" customHeight="1" x14ac:dyDescent="0.15">
      <c r="A212" s="569"/>
      <c r="B212" s="570"/>
      <c r="C212" s="570"/>
      <c r="D212" s="571"/>
      <c r="E212" s="572"/>
      <c r="F212" s="573"/>
      <c r="G212" s="942"/>
      <c r="H212" s="602"/>
      <c r="I212" s="574"/>
      <c r="J212" s="574"/>
      <c r="K212" s="955"/>
      <c r="L212" s="1217" t="s">
        <v>680</v>
      </c>
      <c r="M212" s="910"/>
      <c r="N212" s="910" t="s">
        <v>215</v>
      </c>
      <c r="O212" s="911">
        <f>'사. 임직원보수 일람표'!H72</f>
        <v>2478000</v>
      </c>
      <c r="P212" s="913" t="s">
        <v>724</v>
      </c>
      <c r="Q212" s="921">
        <v>0.6</v>
      </c>
      <c r="R212" s="913" t="s">
        <v>724</v>
      </c>
      <c r="S212" s="920">
        <v>1</v>
      </c>
      <c r="T212" s="916" t="s">
        <v>345</v>
      </c>
      <c r="U212" s="917">
        <f t="shared" si="7"/>
        <v>1486800</v>
      </c>
      <c r="AE212" s="1054"/>
    </row>
    <row r="213" spans="1:31" ht="21.75" hidden="1" customHeight="1" x14ac:dyDescent="0.15">
      <c r="A213" s="569"/>
      <c r="B213" s="570"/>
      <c r="C213" s="570"/>
      <c r="D213" s="571"/>
      <c r="E213" s="572"/>
      <c r="F213" s="573"/>
      <c r="G213" s="942"/>
      <c r="H213" s="602"/>
      <c r="I213" s="574"/>
      <c r="J213" s="574"/>
      <c r="K213" s="955"/>
      <c r="L213" s="1217" t="s">
        <v>680</v>
      </c>
      <c r="M213" s="910"/>
      <c r="N213" s="910" t="s">
        <v>703</v>
      </c>
      <c r="O213" s="911">
        <f>'사. 임직원보수 일람표'!H73</f>
        <v>2234000</v>
      </c>
      <c r="P213" s="913" t="s">
        <v>724</v>
      </c>
      <c r="Q213" s="921">
        <v>0.6</v>
      </c>
      <c r="R213" s="913" t="s">
        <v>724</v>
      </c>
      <c r="S213" s="920">
        <v>1</v>
      </c>
      <c r="T213" s="916" t="s">
        <v>345</v>
      </c>
      <c r="U213" s="917">
        <f t="shared" ref="U213:U273" si="9">O213*Q213*S213</f>
        <v>1340400</v>
      </c>
      <c r="AE213" s="1054"/>
    </row>
    <row r="214" spans="1:31" ht="21.75" hidden="1" customHeight="1" x14ac:dyDescent="0.15">
      <c r="A214" s="569"/>
      <c r="B214" s="570"/>
      <c r="C214" s="570"/>
      <c r="D214" s="571"/>
      <c r="E214" s="572"/>
      <c r="F214" s="573"/>
      <c r="G214" s="942"/>
      <c r="H214" s="602"/>
      <c r="I214" s="574"/>
      <c r="J214" s="574"/>
      <c r="K214" s="955"/>
      <c r="L214" s="1217" t="s">
        <v>680</v>
      </c>
      <c r="M214" s="910"/>
      <c r="N214" s="910" t="s">
        <v>1191</v>
      </c>
      <c r="O214" s="911">
        <f>'사. 임직원보수 일람표'!H74</f>
        <v>2310000</v>
      </c>
      <c r="P214" s="913" t="s">
        <v>724</v>
      </c>
      <c r="Q214" s="921">
        <v>0.6</v>
      </c>
      <c r="R214" s="913" t="s">
        <v>724</v>
      </c>
      <c r="S214" s="920">
        <v>1</v>
      </c>
      <c r="T214" s="916" t="s">
        <v>345</v>
      </c>
      <c r="U214" s="917">
        <f t="shared" si="9"/>
        <v>1386000</v>
      </c>
      <c r="AE214" s="1054"/>
    </row>
    <row r="215" spans="1:31" ht="21.75" hidden="1" customHeight="1" x14ac:dyDescent="0.15">
      <c r="A215" s="569"/>
      <c r="B215" s="570"/>
      <c r="C215" s="570"/>
      <c r="D215" s="571"/>
      <c r="E215" s="572"/>
      <c r="F215" s="573"/>
      <c r="G215" s="942"/>
      <c r="H215" s="602"/>
      <c r="I215" s="574"/>
      <c r="J215" s="574"/>
      <c r="K215" s="955"/>
      <c r="L215" s="1217" t="s">
        <v>680</v>
      </c>
      <c r="M215" s="910"/>
      <c r="N215" s="910" t="s">
        <v>704</v>
      </c>
      <c r="O215" s="911">
        <f>'사. 임직원보수 일람표'!H75</f>
        <v>2234000</v>
      </c>
      <c r="P215" s="913" t="s">
        <v>724</v>
      </c>
      <c r="Q215" s="921">
        <v>0.6</v>
      </c>
      <c r="R215" s="913" t="s">
        <v>724</v>
      </c>
      <c r="S215" s="920">
        <v>1</v>
      </c>
      <c r="T215" s="916" t="s">
        <v>345</v>
      </c>
      <c r="U215" s="917">
        <f t="shared" si="9"/>
        <v>1340400</v>
      </c>
      <c r="AE215" s="1054"/>
    </row>
    <row r="216" spans="1:31" ht="21.75" hidden="1" customHeight="1" x14ac:dyDescent="0.15">
      <c r="A216" s="569"/>
      <c r="B216" s="570"/>
      <c r="C216" s="570"/>
      <c r="D216" s="571"/>
      <c r="E216" s="572"/>
      <c r="F216" s="573"/>
      <c r="G216" s="942"/>
      <c r="H216" s="602"/>
      <c r="I216" s="574"/>
      <c r="J216" s="574"/>
      <c r="K216" s="955"/>
      <c r="L216" s="1217" t="s">
        <v>680</v>
      </c>
      <c r="M216" s="910"/>
      <c r="N216" s="910" t="s">
        <v>1233</v>
      </c>
      <c r="O216" s="911">
        <f>'사. 임직원보수 일람표'!H76</f>
        <v>2310000</v>
      </c>
      <c r="P216" s="913" t="s">
        <v>724</v>
      </c>
      <c r="Q216" s="921">
        <v>0.6</v>
      </c>
      <c r="R216" s="913" t="s">
        <v>724</v>
      </c>
      <c r="S216" s="920">
        <v>1</v>
      </c>
      <c r="T216" s="916" t="s">
        <v>345</v>
      </c>
      <c r="U216" s="917">
        <f t="shared" si="9"/>
        <v>1386000</v>
      </c>
      <c r="AE216" s="1054"/>
    </row>
    <row r="217" spans="1:31" ht="21.75" hidden="1" customHeight="1" x14ac:dyDescent="0.15">
      <c r="A217" s="569"/>
      <c r="B217" s="570"/>
      <c r="C217" s="570"/>
      <c r="D217" s="571"/>
      <c r="E217" s="572"/>
      <c r="F217" s="573"/>
      <c r="G217" s="942"/>
      <c r="H217" s="602"/>
      <c r="I217" s="574"/>
      <c r="J217" s="574"/>
      <c r="K217" s="955"/>
      <c r="L217" s="1217" t="s">
        <v>680</v>
      </c>
      <c r="M217" s="910"/>
      <c r="N217" s="910" t="s">
        <v>705</v>
      </c>
      <c r="O217" s="911">
        <f>'사. 임직원보수 일람표'!H77</f>
        <v>2310000</v>
      </c>
      <c r="P217" s="913" t="s">
        <v>724</v>
      </c>
      <c r="Q217" s="921">
        <v>0.6</v>
      </c>
      <c r="R217" s="913" t="s">
        <v>724</v>
      </c>
      <c r="S217" s="920">
        <v>1</v>
      </c>
      <c r="T217" s="916" t="s">
        <v>345</v>
      </c>
      <c r="U217" s="917">
        <f t="shared" si="9"/>
        <v>1386000</v>
      </c>
      <c r="AE217" s="1054"/>
    </row>
    <row r="218" spans="1:31" ht="21.75" hidden="1" customHeight="1" x14ac:dyDescent="0.15">
      <c r="A218" s="569"/>
      <c r="B218" s="570"/>
      <c r="C218" s="570"/>
      <c r="D218" s="571"/>
      <c r="E218" s="572"/>
      <c r="F218" s="573"/>
      <c r="G218" s="942"/>
      <c r="H218" s="602"/>
      <c r="I218" s="574"/>
      <c r="J218" s="574"/>
      <c r="K218" s="955"/>
      <c r="L218" s="1217" t="s">
        <v>680</v>
      </c>
      <c r="M218" s="910"/>
      <c r="N218" s="910" t="s">
        <v>1234</v>
      </c>
      <c r="O218" s="911">
        <f>'사. 임직원보수 일람표'!H78</f>
        <v>2396000</v>
      </c>
      <c r="P218" s="913" t="s">
        <v>724</v>
      </c>
      <c r="Q218" s="921">
        <v>0.6</v>
      </c>
      <c r="R218" s="913" t="s">
        <v>724</v>
      </c>
      <c r="S218" s="920">
        <v>1</v>
      </c>
      <c r="T218" s="916" t="s">
        <v>345</v>
      </c>
      <c r="U218" s="917">
        <f t="shared" si="9"/>
        <v>1437600</v>
      </c>
      <c r="AE218" s="1054"/>
    </row>
    <row r="219" spans="1:31" ht="21.75" hidden="1" customHeight="1" x14ac:dyDescent="0.15">
      <c r="A219" s="569"/>
      <c r="B219" s="570"/>
      <c r="C219" s="570"/>
      <c r="D219" s="571"/>
      <c r="E219" s="572"/>
      <c r="F219" s="573"/>
      <c r="G219" s="942"/>
      <c r="H219" s="602"/>
      <c r="I219" s="574"/>
      <c r="J219" s="574"/>
      <c r="K219" s="955"/>
      <c r="L219" s="1217" t="s">
        <v>680</v>
      </c>
      <c r="M219" s="910"/>
      <c r="N219" s="910" t="s">
        <v>1235</v>
      </c>
      <c r="O219" s="911">
        <f>'사. 임직원보수 일람표'!H79</f>
        <v>2036000</v>
      </c>
      <c r="P219" s="913" t="s">
        <v>724</v>
      </c>
      <c r="Q219" s="921">
        <v>0.6</v>
      </c>
      <c r="R219" s="913" t="s">
        <v>724</v>
      </c>
      <c r="S219" s="920">
        <v>2</v>
      </c>
      <c r="T219" s="916" t="s">
        <v>345</v>
      </c>
      <c r="U219" s="917">
        <f t="shared" si="9"/>
        <v>2443200</v>
      </c>
      <c r="AE219" s="1054"/>
    </row>
    <row r="220" spans="1:31" ht="21.75" hidden="1" customHeight="1" x14ac:dyDescent="0.15">
      <c r="A220" s="569"/>
      <c r="B220" s="570"/>
      <c r="C220" s="570"/>
      <c r="D220" s="571"/>
      <c r="E220" s="572"/>
      <c r="F220" s="573"/>
      <c r="G220" s="942"/>
      <c r="H220" s="602"/>
      <c r="I220" s="574"/>
      <c r="J220" s="574"/>
      <c r="K220" s="955"/>
      <c r="L220" s="1217" t="s">
        <v>680</v>
      </c>
      <c r="M220" s="910"/>
      <c r="N220" s="910" t="s">
        <v>1235</v>
      </c>
      <c r="O220" s="911"/>
      <c r="P220" s="913" t="s">
        <v>724</v>
      </c>
      <c r="Q220" s="921">
        <v>0.6</v>
      </c>
      <c r="R220" s="913" t="s">
        <v>724</v>
      </c>
      <c r="S220" s="920">
        <v>1</v>
      </c>
      <c r="T220" s="916" t="s">
        <v>345</v>
      </c>
      <c r="U220" s="917">
        <f t="shared" si="9"/>
        <v>0</v>
      </c>
      <c r="AE220" s="1054"/>
    </row>
    <row r="221" spans="1:31" ht="21.75" hidden="1" customHeight="1" x14ac:dyDescent="0.15">
      <c r="A221" s="569"/>
      <c r="B221" s="570"/>
      <c r="C221" s="570"/>
      <c r="D221" s="571"/>
      <c r="E221" s="572"/>
      <c r="F221" s="573"/>
      <c r="G221" s="942"/>
      <c r="H221" s="602"/>
      <c r="I221" s="574"/>
      <c r="J221" s="574"/>
      <c r="K221" s="955"/>
      <c r="L221" s="1217" t="s">
        <v>680</v>
      </c>
      <c r="M221" s="910"/>
      <c r="N221" s="910" t="s">
        <v>1236</v>
      </c>
      <c r="O221" s="911">
        <f>'사. 임직원보수 일람표'!H81</f>
        <v>2730000</v>
      </c>
      <c r="P221" s="913" t="s">
        <v>724</v>
      </c>
      <c r="Q221" s="921">
        <v>0.6</v>
      </c>
      <c r="R221" s="913" t="s">
        <v>724</v>
      </c>
      <c r="S221" s="920">
        <v>1</v>
      </c>
      <c r="T221" s="916" t="s">
        <v>345</v>
      </c>
      <c r="U221" s="917">
        <f t="shared" si="9"/>
        <v>1638000</v>
      </c>
      <c r="AE221" s="1054"/>
    </row>
    <row r="222" spans="1:31" ht="21.75" hidden="1" customHeight="1" x14ac:dyDescent="0.15">
      <c r="A222" s="569"/>
      <c r="B222" s="570"/>
      <c r="C222" s="570"/>
      <c r="D222" s="571"/>
      <c r="E222" s="572"/>
      <c r="F222" s="573"/>
      <c r="G222" s="942"/>
      <c r="H222" s="602"/>
      <c r="I222" s="574"/>
      <c r="J222" s="574"/>
      <c r="K222" s="955"/>
      <c r="L222" s="1217" t="s">
        <v>680</v>
      </c>
      <c r="M222" s="910"/>
      <c r="N222" s="910" t="s">
        <v>1237</v>
      </c>
      <c r="O222" s="911">
        <f>'사. 임직원보수 일람표'!H82</f>
        <v>2789000</v>
      </c>
      <c r="P222" s="913" t="s">
        <v>724</v>
      </c>
      <c r="Q222" s="921">
        <v>0.6</v>
      </c>
      <c r="R222" s="913" t="s">
        <v>724</v>
      </c>
      <c r="S222" s="920">
        <v>1</v>
      </c>
      <c r="T222" s="916" t="s">
        <v>345</v>
      </c>
      <c r="U222" s="917">
        <f t="shared" si="9"/>
        <v>1673400</v>
      </c>
      <c r="AE222" s="1054"/>
    </row>
    <row r="223" spans="1:31" ht="21.75" hidden="1" customHeight="1" x14ac:dyDescent="0.15">
      <c r="A223" s="569"/>
      <c r="B223" s="570"/>
      <c r="C223" s="570"/>
      <c r="D223" s="571"/>
      <c r="E223" s="572"/>
      <c r="F223" s="573"/>
      <c r="G223" s="942"/>
      <c r="H223" s="602"/>
      <c r="I223" s="574"/>
      <c r="J223" s="574"/>
      <c r="K223" s="955"/>
      <c r="L223" s="1217" t="s">
        <v>680</v>
      </c>
      <c r="M223" s="910"/>
      <c r="N223" s="910" t="s">
        <v>1238</v>
      </c>
      <c r="O223" s="911">
        <f>'사. 임직원보수 일람표'!H83</f>
        <v>1978000</v>
      </c>
      <c r="P223" s="913" t="s">
        <v>724</v>
      </c>
      <c r="Q223" s="921">
        <v>0.6</v>
      </c>
      <c r="R223" s="913" t="s">
        <v>724</v>
      </c>
      <c r="S223" s="920">
        <v>1</v>
      </c>
      <c r="T223" s="916" t="s">
        <v>345</v>
      </c>
      <c r="U223" s="917">
        <f t="shared" si="9"/>
        <v>1186800</v>
      </c>
      <c r="AE223" s="1054"/>
    </row>
    <row r="224" spans="1:31" ht="21.75" hidden="1" customHeight="1" x14ac:dyDescent="0.15">
      <c r="A224" s="569"/>
      <c r="B224" s="570"/>
      <c r="C224" s="570"/>
      <c r="D224" s="571"/>
      <c r="E224" s="572"/>
      <c r="F224" s="573"/>
      <c r="G224" s="942"/>
      <c r="H224" s="602"/>
      <c r="I224" s="574"/>
      <c r="J224" s="574"/>
      <c r="K224" s="955"/>
      <c r="L224" s="1217" t="s">
        <v>680</v>
      </c>
      <c r="M224" s="910"/>
      <c r="N224" s="910" t="s">
        <v>1238</v>
      </c>
      <c r="O224" s="911">
        <f>'사. 임직원보수 일람표'!H84</f>
        <v>2036000</v>
      </c>
      <c r="P224" s="913" t="s">
        <v>724</v>
      </c>
      <c r="Q224" s="921">
        <v>0.6</v>
      </c>
      <c r="R224" s="913" t="s">
        <v>724</v>
      </c>
      <c r="S224" s="920">
        <v>1</v>
      </c>
      <c r="T224" s="916" t="s">
        <v>345</v>
      </c>
      <c r="U224" s="917">
        <f t="shared" si="9"/>
        <v>1221600</v>
      </c>
      <c r="AE224" s="1054"/>
    </row>
    <row r="225" spans="1:31" ht="21.75" hidden="1" customHeight="1" x14ac:dyDescent="0.15">
      <c r="A225" s="569"/>
      <c r="B225" s="570"/>
      <c r="C225" s="570"/>
      <c r="D225" s="571"/>
      <c r="E225" s="572"/>
      <c r="F225" s="573"/>
      <c r="G225" s="942"/>
      <c r="H225" s="602"/>
      <c r="I225" s="574"/>
      <c r="J225" s="574"/>
      <c r="K225" s="955"/>
      <c r="L225" s="1217" t="s">
        <v>680</v>
      </c>
      <c r="M225" s="910"/>
      <c r="N225" s="910" t="s">
        <v>1239</v>
      </c>
      <c r="O225" s="911">
        <f>'사. 임직원보수 일람표'!H85</f>
        <v>1978000</v>
      </c>
      <c r="P225" s="913" t="s">
        <v>724</v>
      </c>
      <c r="Q225" s="921">
        <v>0.6</v>
      </c>
      <c r="R225" s="913" t="s">
        <v>724</v>
      </c>
      <c r="S225" s="920">
        <v>1</v>
      </c>
      <c r="T225" s="916" t="s">
        <v>345</v>
      </c>
      <c r="U225" s="917">
        <f t="shared" ref="U225:U232" si="10">O225*Q225*S225</f>
        <v>1186800</v>
      </c>
      <c r="AE225" s="1054"/>
    </row>
    <row r="226" spans="1:31" ht="21.75" hidden="1" customHeight="1" x14ac:dyDescent="0.15">
      <c r="A226" s="569"/>
      <c r="B226" s="570"/>
      <c r="C226" s="570"/>
      <c r="D226" s="571"/>
      <c r="E226" s="572"/>
      <c r="F226" s="573"/>
      <c r="G226" s="942"/>
      <c r="H226" s="602"/>
      <c r="I226" s="574"/>
      <c r="J226" s="574"/>
      <c r="K226" s="955"/>
      <c r="L226" s="1217" t="s">
        <v>680</v>
      </c>
      <c r="M226" s="910"/>
      <c r="N226" s="910" t="s">
        <v>1239</v>
      </c>
      <c r="O226" s="911">
        <f>'사. 임직원보수 일람표'!H86</f>
        <v>2036000</v>
      </c>
      <c r="P226" s="913" t="s">
        <v>724</v>
      </c>
      <c r="Q226" s="921">
        <v>0.6</v>
      </c>
      <c r="R226" s="913" t="s">
        <v>724</v>
      </c>
      <c r="S226" s="920">
        <v>1</v>
      </c>
      <c r="T226" s="916" t="s">
        <v>345</v>
      </c>
      <c r="U226" s="917">
        <f t="shared" si="10"/>
        <v>1221600</v>
      </c>
      <c r="AE226" s="1054"/>
    </row>
    <row r="227" spans="1:31" ht="21.75" hidden="1" customHeight="1" x14ac:dyDescent="0.15">
      <c r="A227" s="569"/>
      <c r="B227" s="570"/>
      <c r="C227" s="570"/>
      <c r="D227" s="571"/>
      <c r="E227" s="572"/>
      <c r="F227" s="573"/>
      <c r="G227" s="942"/>
      <c r="H227" s="602"/>
      <c r="I227" s="574"/>
      <c r="J227" s="574"/>
      <c r="K227" s="955"/>
      <c r="L227" s="1217" t="s">
        <v>680</v>
      </c>
      <c r="M227" s="910"/>
      <c r="N227" s="910" t="s">
        <v>1240</v>
      </c>
      <c r="O227" s="911">
        <f>'사. 임직원보수 일람표'!H87</f>
        <v>1978000</v>
      </c>
      <c r="P227" s="913" t="s">
        <v>724</v>
      </c>
      <c r="Q227" s="921">
        <v>0.6</v>
      </c>
      <c r="R227" s="913" t="s">
        <v>724</v>
      </c>
      <c r="S227" s="920">
        <v>1</v>
      </c>
      <c r="T227" s="916" t="s">
        <v>345</v>
      </c>
      <c r="U227" s="917">
        <f t="shared" si="10"/>
        <v>1186800</v>
      </c>
      <c r="AE227" s="1054"/>
    </row>
    <row r="228" spans="1:31" ht="21.75" hidden="1" customHeight="1" x14ac:dyDescent="0.15">
      <c r="A228" s="569"/>
      <c r="B228" s="570"/>
      <c r="C228" s="570"/>
      <c r="D228" s="571"/>
      <c r="E228" s="572"/>
      <c r="F228" s="573"/>
      <c r="G228" s="942"/>
      <c r="H228" s="602"/>
      <c r="I228" s="574"/>
      <c r="J228" s="574"/>
      <c r="K228" s="955"/>
      <c r="L228" s="1217" t="s">
        <v>680</v>
      </c>
      <c r="M228" s="910"/>
      <c r="N228" s="910" t="s">
        <v>1241</v>
      </c>
      <c r="O228" s="911">
        <f>'사. 임직원보수 일람표'!H88</f>
        <v>2036000</v>
      </c>
      <c r="P228" s="913" t="s">
        <v>724</v>
      </c>
      <c r="Q228" s="921">
        <v>0.6</v>
      </c>
      <c r="R228" s="913" t="s">
        <v>724</v>
      </c>
      <c r="S228" s="920">
        <v>1</v>
      </c>
      <c r="T228" s="916" t="s">
        <v>345</v>
      </c>
      <c r="U228" s="917">
        <f t="shared" si="10"/>
        <v>1221600</v>
      </c>
      <c r="AE228" s="1054"/>
    </row>
    <row r="229" spans="1:31" ht="21.75" hidden="1" customHeight="1" x14ac:dyDescent="0.15">
      <c r="A229" s="569"/>
      <c r="B229" s="570"/>
      <c r="C229" s="570"/>
      <c r="D229" s="571"/>
      <c r="E229" s="572"/>
      <c r="F229" s="573"/>
      <c r="G229" s="942"/>
      <c r="H229" s="602"/>
      <c r="I229" s="574"/>
      <c r="J229" s="574"/>
      <c r="K229" s="955"/>
      <c r="L229" s="1217" t="s">
        <v>680</v>
      </c>
      <c r="M229" s="910"/>
      <c r="N229" s="910" t="s">
        <v>1223</v>
      </c>
      <c r="O229" s="911">
        <f>'사. 임직원보수 일람표'!H89</f>
        <v>2396000</v>
      </c>
      <c r="P229" s="913" t="s">
        <v>724</v>
      </c>
      <c r="Q229" s="921">
        <v>0.6</v>
      </c>
      <c r="R229" s="913" t="s">
        <v>724</v>
      </c>
      <c r="S229" s="920">
        <v>2</v>
      </c>
      <c r="T229" s="916" t="s">
        <v>345</v>
      </c>
      <c r="U229" s="917">
        <f t="shared" si="10"/>
        <v>2875200</v>
      </c>
      <c r="AE229" s="1054"/>
    </row>
    <row r="230" spans="1:31" ht="21.75" hidden="1" customHeight="1" x14ac:dyDescent="0.15">
      <c r="A230" s="569"/>
      <c r="B230" s="570"/>
      <c r="C230" s="570"/>
      <c r="D230" s="571"/>
      <c r="E230" s="572"/>
      <c r="F230" s="573"/>
      <c r="G230" s="942"/>
      <c r="H230" s="602"/>
      <c r="I230" s="574"/>
      <c r="J230" s="574"/>
      <c r="K230" s="955"/>
      <c r="L230" s="1217" t="s">
        <v>680</v>
      </c>
      <c r="M230" s="910"/>
      <c r="N230" s="910" t="s">
        <v>1223</v>
      </c>
      <c r="O230" s="911">
        <f>'사. 임직원보수 일람표'!H90</f>
        <v>0</v>
      </c>
      <c r="P230" s="913" t="s">
        <v>724</v>
      </c>
      <c r="Q230" s="921">
        <v>0.6</v>
      </c>
      <c r="R230" s="913" t="s">
        <v>724</v>
      </c>
      <c r="S230" s="920">
        <v>1</v>
      </c>
      <c r="T230" s="916" t="s">
        <v>345</v>
      </c>
      <c r="U230" s="917">
        <f t="shared" si="10"/>
        <v>0</v>
      </c>
      <c r="AE230" s="1054"/>
    </row>
    <row r="231" spans="1:31" ht="21.75" hidden="1" customHeight="1" x14ac:dyDescent="0.15">
      <c r="A231" s="569"/>
      <c r="B231" s="570"/>
      <c r="C231" s="570"/>
      <c r="D231" s="571"/>
      <c r="E231" s="572"/>
      <c r="F231" s="573"/>
      <c r="G231" s="942"/>
      <c r="H231" s="602"/>
      <c r="I231" s="574"/>
      <c r="J231" s="574"/>
      <c r="K231" s="955"/>
      <c r="L231" s="1217" t="s">
        <v>680</v>
      </c>
      <c r="M231" s="910"/>
      <c r="N231" s="910" t="s">
        <v>1223</v>
      </c>
      <c r="O231" s="911">
        <f>'사. 임직원보수 일람표'!H91</f>
        <v>2036000</v>
      </c>
      <c r="P231" s="913" t="s">
        <v>724</v>
      </c>
      <c r="Q231" s="921">
        <v>0.6</v>
      </c>
      <c r="R231" s="913" t="s">
        <v>724</v>
      </c>
      <c r="S231" s="920">
        <v>1</v>
      </c>
      <c r="T231" s="916" t="s">
        <v>345</v>
      </c>
      <c r="U231" s="917">
        <f t="shared" ref="U231" si="11">O231*Q231*S231</f>
        <v>1221600</v>
      </c>
      <c r="AE231" s="1054"/>
    </row>
    <row r="232" spans="1:31" ht="21.75" hidden="1" customHeight="1" x14ac:dyDescent="0.15">
      <c r="A232" s="569"/>
      <c r="B232" s="570"/>
      <c r="C232" s="570"/>
      <c r="D232" s="571"/>
      <c r="E232" s="572"/>
      <c r="F232" s="573"/>
      <c r="G232" s="942"/>
      <c r="H232" s="602"/>
      <c r="I232" s="574"/>
      <c r="J232" s="574"/>
      <c r="K232" s="955"/>
      <c r="L232" s="1217" t="s">
        <v>680</v>
      </c>
      <c r="M232" s="910"/>
      <c r="N232" s="910" t="s">
        <v>1223</v>
      </c>
      <c r="O232" s="911">
        <f>'사. 임직원보수 일람표'!H92</f>
        <v>2099000</v>
      </c>
      <c r="P232" s="913" t="s">
        <v>724</v>
      </c>
      <c r="Q232" s="921">
        <v>0.6</v>
      </c>
      <c r="R232" s="913" t="s">
        <v>724</v>
      </c>
      <c r="S232" s="920">
        <v>1</v>
      </c>
      <c r="T232" s="916" t="s">
        <v>345</v>
      </c>
      <c r="U232" s="917">
        <f t="shared" si="10"/>
        <v>1259400</v>
      </c>
      <c r="AE232" s="1054"/>
    </row>
    <row r="233" spans="1:31" ht="21.75" hidden="1" customHeight="1" x14ac:dyDescent="0.15">
      <c r="A233" s="569"/>
      <c r="B233" s="570"/>
      <c r="C233" s="570"/>
      <c r="D233" s="571"/>
      <c r="E233" s="572"/>
      <c r="F233" s="573"/>
      <c r="G233" s="942"/>
      <c r="H233" s="602"/>
      <c r="I233" s="574"/>
      <c r="J233" s="574"/>
      <c r="K233" s="955"/>
      <c r="L233" s="1217" t="s">
        <v>706</v>
      </c>
      <c r="M233" s="910"/>
      <c r="N233" s="910" t="s">
        <v>707</v>
      </c>
      <c r="O233" s="911">
        <f>'사. 임직원보수 일람표'!H93</f>
        <v>2526000</v>
      </c>
      <c r="P233" s="913" t="s">
        <v>724</v>
      </c>
      <c r="Q233" s="921">
        <v>0.6</v>
      </c>
      <c r="R233" s="913" t="s">
        <v>724</v>
      </c>
      <c r="S233" s="920">
        <v>1</v>
      </c>
      <c r="T233" s="916" t="s">
        <v>345</v>
      </c>
      <c r="U233" s="917">
        <f t="shared" si="9"/>
        <v>1515600</v>
      </c>
      <c r="AE233" s="1054"/>
    </row>
    <row r="234" spans="1:31" ht="21.75" hidden="1" customHeight="1" x14ac:dyDescent="0.15">
      <c r="A234" s="569"/>
      <c r="B234" s="570"/>
      <c r="C234" s="570"/>
      <c r="D234" s="571"/>
      <c r="E234" s="572"/>
      <c r="F234" s="573"/>
      <c r="G234" s="942"/>
      <c r="H234" s="602"/>
      <c r="I234" s="574"/>
      <c r="J234" s="574"/>
      <c r="K234" s="955"/>
      <c r="L234" s="1217" t="s">
        <v>706</v>
      </c>
      <c r="M234" s="910"/>
      <c r="N234" s="910" t="s">
        <v>707</v>
      </c>
      <c r="O234" s="911">
        <f>'사. 임직원보수 일람표'!H94</f>
        <v>2570000</v>
      </c>
      <c r="P234" s="913" t="s">
        <v>724</v>
      </c>
      <c r="Q234" s="921">
        <v>0.6</v>
      </c>
      <c r="R234" s="913" t="s">
        <v>724</v>
      </c>
      <c r="S234" s="920">
        <v>1</v>
      </c>
      <c r="T234" s="916" t="s">
        <v>345</v>
      </c>
      <c r="U234" s="917">
        <f t="shared" si="9"/>
        <v>1542000</v>
      </c>
      <c r="AE234" s="1054"/>
    </row>
    <row r="235" spans="1:31" ht="21.75" hidden="1" customHeight="1" x14ac:dyDescent="0.15">
      <c r="A235" s="569"/>
      <c r="B235" s="570"/>
      <c r="C235" s="570"/>
      <c r="D235" s="571"/>
      <c r="E235" s="572"/>
      <c r="F235" s="573"/>
      <c r="G235" s="942"/>
      <c r="H235" s="602"/>
      <c r="I235" s="574"/>
      <c r="J235" s="574"/>
      <c r="K235" s="955"/>
      <c r="L235" s="1217" t="s">
        <v>708</v>
      </c>
      <c r="M235" s="910"/>
      <c r="N235" s="910" t="s">
        <v>1114</v>
      </c>
      <c r="O235" s="911">
        <f>'사. 임직원보수 일람표'!H95</f>
        <v>1970000</v>
      </c>
      <c r="P235" s="913" t="s">
        <v>724</v>
      </c>
      <c r="Q235" s="921">
        <v>0.6</v>
      </c>
      <c r="R235" s="913" t="s">
        <v>724</v>
      </c>
      <c r="S235" s="920">
        <v>1</v>
      </c>
      <c r="T235" s="916" t="s">
        <v>345</v>
      </c>
      <c r="U235" s="917">
        <f t="shared" si="9"/>
        <v>1182000</v>
      </c>
      <c r="AE235" s="1054"/>
    </row>
    <row r="236" spans="1:31" ht="21.75" hidden="1" customHeight="1" x14ac:dyDescent="0.15">
      <c r="A236" s="569"/>
      <c r="B236" s="570"/>
      <c r="C236" s="570"/>
      <c r="D236" s="571"/>
      <c r="E236" s="572"/>
      <c r="F236" s="573"/>
      <c r="G236" s="942"/>
      <c r="H236" s="602"/>
      <c r="I236" s="574"/>
      <c r="J236" s="574"/>
      <c r="K236" s="955"/>
      <c r="L236" s="1217" t="s">
        <v>708</v>
      </c>
      <c r="M236" s="910"/>
      <c r="N236" s="910" t="s">
        <v>1114</v>
      </c>
      <c r="O236" s="911">
        <f>'사. 임직원보수 일람표'!H96</f>
        <v>2015000</v>
      </c>
      <c r="P236" s="913" t="s">
        <v>724</v>
      </c>
      <c r="Q236" s="921">
        <v>0.6</v>
      </c>
      <c r="R236" s="913" t="s">
        <v>724</v>
      </c>
      <c r="S236" s="920">
        <v>1</v>
      </c>
      <c r="T236" s="916" t="s">
        <v>345</v>
      </c>
      <c r="U236" s="917">
        <f t="shared" ref="U236" si="12">O236*Q236*S236</f>
        <v>1209000</v>
      </c>
      <c r="AE236" s="1054"/>
    </row>
    <row r="237" spans="1:31" ht="21.75" hidden="1" customHeight="1" x14ac:dyDescent="0.15">
      <c r="A237" s="569"/>
      <c r="B237" s="570"/>
      <c r="C237" s="570"/>
      <c r="D237" s="571"/>
      <c r="E237" s="572"/>
      <c r="F237" s="573"/>
      <c r="G237" s="942"/>
      <c r="H237" s="602"/>
      <c r="I237" s="574"/>
      <c r="J237" s="574"/>
      <c r="K237" s="955"/>
      <c r="L237" s="1217" t="s">
        <v>708</v>
      </c>
      <c r="M237" s="910"/>
      <c r="N237" s="910" t="s">
        <v>709</v>
      </c>
      <c r="O237" s="911">
        <f>'사. 임직원보수 일람표'!H97</f>
        <v>2249000</v>
      </c>
      <c r="P237" s="913" t="s">
        <v>724</v>
      </c>
      <c r="Q237" s="921">
        <v>0.6</v>
      </c>
      <c r="R237" s="913" t="s">
        <v>724</v>
      </c>
      <c r="S237" s="920">
        <v>1</v>
      </c>
      <c r="T237" s="916" t="s">
        <v>345</v>
      </c>
      <c r="U237" s="917">
        <f t="shared" si="9"/>
        <v>1349400</v>
      </c>
      <c r="AE237" s="1054"/>
    </row>
    <row r="238" spans="1:31" ht="21.75" hidden="1" customHeight="1" x14ac:dyDescent="0.15">
      <c r="A238" s="569"/>
      <c r="B238" s="570"/>
      <c r="C238" s="570"/>
      <c r="D238" s="571"/>
      <c r="E238" s="572"/>
      <c r="F238" s="573"/>
      <c r="G238" s="942"/>
      <c r="H238" s="602"/>
      <c r="I238" s="574"/>
      <c r="J238" s="574"/>
      <c r="K238" s="955"/>
      <c r="L238" s="1217" t="s">
        <v>708</v>
      </c>
      <c r="M238" s="910"/>
      <c r="N238" s="910" t="s">
        <v>709</v>
      </c>
      <c r="O238" s="911">
        <f>'사. 임직원보수 일람표'!H98</f>
        <v>2312000</v>
      </c>
      <c r="P238" s="913" t="s">
        <v>724</v>
      </c>
      <c r="Q238" s="921">
        <v>0.6</v>
      </c>
      <c r="R238" s="913" t="s">
        <v>724</v>
      </c>
      <c r="S238" s="920">
        <v>1</v>
      </c>
      <c r="T238" s="916" t="s">
        <v>345</v>
      </c>
      <c r="U238" s="917">
        <f t="shared" si="9"/>
        <v>1387200</v>
      </c>
      <c r="AE238" s="1054"/>
    </row>
    <row r="239" spans="1:31" ht="21.75" hidden="1" customHeight="1" x14ac:dyDescent="0.15">
      <c r="A239" s="569"/>
      <c r="B239" s="570"/>
      <c r="C239" s="570"/>
      <c r="D239" s="571"/>
      <c r="E239" s="572"/>
      <c r="F239" s="573"/>
      <c r="G239" s="942"/>
      <c r="H239" s="602"/>
      <c r="I239" s="574"/>
      <c r="J239" s="574"/>
      <c r="K239" s="955"/>
      <c r="L239" s="1217" t="s">
        <v>708</v>
      </c>
      <c r="M239" s="910"/>
      <c r="N239" s="910" t="s">
        <v>710</v>
      </c>
      <c r="O239" s="911">
        <f>'사. 임직원보수 일람표'!H99</f>
        <v>1939000</v>
      </c>
      <c r="P239" s="913" t="s">
        <v>724</v>
      </c>
      <c r="Q239" s="921">
        <v>0.6</v>
      </c>
      <c r="R239" s="913" t="s">
        <v>724</v>
      </c>
      <c r="S239" s="920">
        <v>1</v>
      </c>
      <c r="T239" s="916" t="s">
        <v>345</v>
      </c>
      <c r="U239" s="917">
        <f t="shared" si="9"/>
        <v>1163400</v>
      </c>
      <c r="AE239" s="1054"/>
    </row>
    <row r="240" spans="1:31" ht="21.75" hidden="1" customHeight="1" x14ac:dyDescent="0.15">
      <c r="A240" s="569"/>
      <c r="B240" s="570"/>
      <c r="C240" s="570"/>
      <c r="D240" s="571"/>
      <c r="E240" s="572"/>
      <c r="F240" s="573"/>
      <c r="G240" s="942"/>
      <c r="H240" s="602"/>
      <c r="I240" s="574"/>
      <c r="J240" s="574"/>
      <c r="K240" s="955"/>
      <c r="L240" s="1217" t="s">
        <v>708</v>
      </c>
      <c r="M240" s="910"/>
      <c r="N240" s="910" t="s">
        <v>710</v>
      </c>
      <c r="O240" s="911">
        <f>'사. 임직원보수 일람표'!H100</f>
        <v>1970000</v>
      </c>
      <c r="P240" s="913" t="s">
        <v>724</v>
      </c>
      <c r="Q240" s="921">
        <v>0.6</v>
      </c>
      <c r="R240" s="913" t="s">
        <v>724</v>
      </c>
      <c r="S240" s="920">
        <v>1</v>
      </c>
      <c r="T240" s="916" t="s">
        <v>345</v>
      </c>
      <c r="U240" s="917">
        <f t="shared" si="9"/>
        <v>1182000</v>
      </c>
      <c r="V240" s="544">
        <f>SUM(U149:U240)</f>
        <v>152668200</v>
      </c>
      <c r="W240" s="544">
        <f>V240-'사. 임직원보수 일람표'!J103</f>
        <v>0</v>
      </c>
      <c r="AE240" s="1054"/>
    </row>
    <row r="241" spans="1:31" ht="21.75" hidden="1" customHeight="1" x14ac:dyDescent="0.15">
      <c r="A241" s="569"/>
      <c r="B241" s="570"/>
      <c r="C241" s="570"/>
      <c r="D241" s="571"/>
      <c r="E241" s="572"/>
      <c r="F241" s="573"/>
      <c r="G241" s="942"/>
      <c r="H241" s="602"/>
      <c r="I241" s="574"/>
      <c r="J241" s="574"/>
      <c r="K241" s="955"/>
      <c r="L241" s="1217" t="s">
        <v>680</v>
      </c>
      <c r="M241" s="912" t="s">
        <v>725</v>
      </c>
      <c r="N241" s="910" t="s">
        <v>713</v>
      </c>
      <c r="O241" s="911">
        <f>'사. 임직원보수 일람표'!H111</f>
        <v>2555000</v>
      </c>
      <c r="P241" s="913" t="s">
        <v>724</v>
      </c>
      <c r="Q241" s="921">
        <v>0.6</v>
      </c>
      <c r="R241" s="913" t="s">
        <v>724</v>
      </c>
      <c r="S241" s="920">
        <v>2</v>
      </c>
      <c r="T241" s="916" t="s">
        <v>345</v>
      </c>
      <c r="U241" s="917">
        <f t="shared" si="9"/>
        <v>3066000</v>
      </c>
      <c r="AE241" s="1054"/>
    </row>
    <row r="242" spans="1:31" ht="21.75" hidden="1" customHeight="1" x14ac:dyDescent="0.15">
      <c r="A242" s="569"/>
      <c r="B242" s="570"/>
      <c r="C242" s="570"/>
      <c r="D242" s="571"/>
      <c r="E242" s="572"/>
      <c r="F242" s="573"/>
      <c r="G242" s="942"/>
      <c r="H242" s="602"/>
      <c r="I242" s="574"/>
      <c r="J242" s="574"/>
      <c r="K242" s="955"/>
      <c r="L242" s="1217" t="s">
        <v>708</v>
      </c>
      <c r="M242" s="912" t="s">
        <v>725</v>
      </c>
      <c r="N242" s="910" t="s">
        <v>714</v>
      </c>
      <c r="O242" s="911">
        <f>'사. 임직원보수 일람표'!H112</f>
        <v>2151000</v>
      </c>
      <c r="P242" s="913" t="s">
        <v>724</v>
      </c>
      <c r="Q242" s="921">
        <v>0.6</v>
      </c>
      <c r="R242" s="913" t="s">
        <v>724</v>
      </c>
      <c r="S242" s="920">
        <v>1</v>
      </c>
      <c r="T242" s="916" t="s">
        <v>345</v>
      </c>
      <c r="U242" s="917">
        <f t="shared" si="9"/>
        <v>1290600</v>
      </c>
      <c r="AE242" s="1054"/>
    </row>
    <row r="243" spans="1:31" ht="21.75" hidden="1" customHeight="1" x14ac:dyDescent="0.15">
      <c r="A243" s="569"/>
      <c r="B243" s="570"/>
      <c r="C243" s="570"/>
      <c r="D243" s="571"/>
      <c r="E243" s="572"/>
      <c r="F243" s="573"/>
      <c r="G243" s="942"/>
      <c r="H243" s="602"/>
      <c r="I243" s="574"/>
      <c r="J243" s="574"/>
      <c r="K243" s="955"/>
      <c r="L243" s="1217" t="s">
        <v>708</v>
      </c>
      <c r="M243" s="912" t="s">
        <v>725</v>
      </c>
      <c r="N243" s="910" t="s">
        <v>714</v>
      </c>
      <c r="O243" s="911">
        <f>'사. 임직원보수 일람표'!H113</f>
        <v>2184000</v>
      </c>
      <c r="P243" s="913" t="s">
        <v>724</v>
      </c>
      <c r="Q243" s="921">
        <v>0.6</v>
      </c>
      <c r="R243" s="913" t="s">
        <v>724</v>
      </c>
      <c r="S243" s="920">
        <v>1</v>
      </c>
      <c r="T243" s="916" t="s">
        <v>345</v>
      </c>
      <c r="U243" s="917">
        <f t="shared" si="9"/>
        <v>1310400</v>
      </c>
      <c r="AE243" s="1054"/>
    </row>
    <row r="244" spans="1:31" ht="21.75" hidden="1" customHeight="1" x14ac:dyDescent="0.15">
      <c r="A244" s="569"/>
      <c r="B244" s="570"/>
      <c r="C244" s="570"/>
      <c r="D244" s="571"/>
      <c r="E244" s="572"/>
      <c r="F244" s="573"/>
      <c r="G244" s="942"/>
      <c r="H244" s="602"/>
      <c r="I244" s="574"/>
      <c r="J244" s="574"/>
      <c r="K244" s="955"/>
      <c r="L244" s="1217" t="s">
        <v>715</v>
      </c>
      <c r="M244" s="912" t="s">
        <v>725</v>
      </c>
      <c r="N244" s="910" t="s">
        <v>1244</v>
      </c>
      <c r="O244" s="911">
        <f>'사. 임직원보수 일람표'!H114</f>
        <v>1924000</v>
      </c>
      <c r="P244" s="913" t="s">
        <v>724</v>
      </c>
      <c r="Q244" s="921">
        <v>0.6</v>
      </c>
      <c r="R244" s="913" t="s">
        <v>724</v>
      </c>
      <c r="S244" s="920">
        <v>1</v>
      </c>
      <c r="T244" s="916" t="s">
        <v>345</v>
      </c>
      <c r="U244" s="917">
        <f t="shared" si="9"/>
        <v>1154400</v>
      </c>
      <c r="AE244" s="1054"/>
    </row>
    <row r="245" spans="1:31" ht="21.75" hidden="1" customHeight="1" x14ac:dyDescent="0.15">
      <c r="A245" s="569"/>
      <c r="B245" s="570"/>
      <c r="C245" s="570"/>
      <c r="D245" s="571"/>
      <c r="E245" s="572"/>
      <c r="F245" s="573"/>
      <c r="G245" s="942"/>
      <c r="H245" s="602"/>
      <c r="I245" s="574"/>
      <c r="J245" s="574"/>
      <c r="K245" s="955"/>
      <c r="L245" s="1217" t="s">
        <v>715</v>
      </c>
      <c r="M245" s="912" t="s">
        <v>725</v>
      </c>
      <c r="N245" s="910" t="s">
        <v>1244</v>
      </c>
      <c r="O245" s="911">
        <f>'사. 임직원보수 일람표'!H115</f>
        <v>1941000</v>
      </c>
      <c r="P245" s="913" t="s">
        <v>724</v>
      </c>
      <c r="Q245" s="921">
        <v>0.6</v>
      </c>
      <c r="R245" s="913" t="s">
        <v>724</v>
      </c>
      <c r="S245" s="920">
        <v>1</v>
      </c>
      <c r="T245" s="916" t="s">
        <v>345</v>
      </c>
      <c r="U245" s="917">
        <f t="shared" si="9"/>
        <v>1164600</v>
      </c>
      <c r="V245" s="544">
        <f>SUM(U241:U245)</f>
        <v>7986000</v>
      </c>
      <c r="W245" s="544">
        <f>V245-'사. 임직원보수 일람표'!J116</f>
        <v>0</v>
      </c>
      <c r="AE245" s="1054"/>
    </row>
    <row r="246" spans="1:31" ht="21.75" hidden="1" customHeight="1" x14ac:dyDescent="0.15">
      <c r="A246" s="569"/>
      <c r="B246" s="570"/>
      <c r="C246" s="570"/>
      <c r="D246" s="571"/>
      <c r="E246" s="572"/>
      <c r="F246" s="573"/>
      <c r="G246" s="942"/>
      <c r="H246" s="602"/>
      <c r="I246" s="574"/>
      <c r="J246" s="574"/>
      <c r="K246" s="955"/>
      <c r="L246" s="1217" t="s">
        <v>680</v>
      </c>
      <c r="M246" s="912" t="s">
        <v>726</v>
      </c>
      <c r="N246" s="910" t="s">
        <v>671</v>
      </c>
      <c r="O246" s="911">
        <f>'사. 임직원보수 일람표'!H123</f>
        <v>2036000</v>
      </c>
      <c r="P246" s="913" t="s">
        <v>724</v>
      </c>
      <c r="Q246" s="921">
        <v>0.6</v>
      </c>
      <c r="R246" s="913" t="s">
        <v>724</v>
      </c>
      <c r="S246" s="920">
        <v>2</v>
      </c>
      <c r="T246" s="916" t="s">
        <v>345</v>
      </c>
      <c r="U246" s="917">
        <f t="shared" si="9"/>
        <v>2443200</v>
      </c>
      <c r="AE246" s="1054"/>
    </row>
    <row r="247" spans="1:31" ht="21.75" hidden="1" customHeight="1" x14ac:dyDescent="0.15">
      <c r="A247" s="569"/>
      <c r="B247" s="570"/>
      <c r="C247" s="570"/>
      <c r="D247" s="571"/>
      <c r="E247" s="572"/>
      <c r="F247" s="573"/>
      <c r="G247" s="942"/>
      <c r="H247" s="602"/>
      <c r="I247" s="574"/>
      <c r="J247" s="574"/>
      <c r="K247" s="955"/>
      <c r="L247" s="1217" t="s">
        <v>680</v>
      </c>
      <c r="M247" s="912" t="s">
        <v>726</v>
      </c>
      <c r="N247" s="910" t="s">
        <v>671</v>
      </c>
      <c r="O247" s="911">
        <f>'사. 임직원보수 일람표'!H124</f>
        <v>0</v>
      </c>
      <c r="P247" s="913" t="s">
        <v>724</v>
      </c>
      <c r="Q247" s="921">
        <v>0.6</v>
      </c>
      <c r="R247" s="913" t="s">
        <v>724</v>
      </c>
      <c r="S247" s="920">
        <v>0</v>
      </c>
      <c r="T247" s="916" t="s">
        <v>345</v>
      </c>
      <c r="U247" s="917">
        <f t="shared" ref="U247" si="13">O247*Q247*S247</f>
        <v>0</v>
      </c>
      <c r="AE247" s="1054"/>
    </row>
    <row r="248" spans="1:31" ht="21.75" hidden="1" customHeight="1" x14ac:dyDescent="0.15">
      <c r="A248" s="569"/>
      <c r="B248" s="570"/>
      <c r="C248" s="570"/>
      <c r="D248" s="571"/>
      <c r="E248" s="572"/>
      <c r="F248" s="573"/>
      <c r="G248" s="942"/>
      <c r="H248" s="602"/>
      <c r="I248" s="574"/>
      <c r="J248" s="574"/>
      <c r="K248" s="955"/>
      <c r="L248" s="1217" t="s">
        <v>680</v>
      </c>
      <c r="M248" s="912" t="s">
        <v>726</v>
      </c>
      <c r="N248" s="910" t="s">
        <v>716</v>
      </c>
      <c r="O248" s="911">
        <f>'사. 임직원보수 일람표'!H125</f>
        <v>2099000</v>
      </c>
      <c r="P248" s="913" t="s">
        <v>724</v>
      </c>
      <c r="Q248" s="921">
        <v>0.6</v>
      </c>
      <c r="R248" s="913" t="s">
        <v>724</v>
      </c>
      <c r="S248" s="920">
        <v>1</v>
      </c>
      <c r="T248" s="916" t="s">
        <v>345</v>
      </c>
      <c r="U248" s="917">
        <f t="shared" si="9"/>
        <v>1259400</v>
      </c>
      <c r="AE248" s="1054"/>
    </row>
    <row r="249" spans="1:31" ht="21.75" hidden="1" customHeight="1" x14ac:dyDescent="0.15">
      <c r="A249" s="569"/>
      <c r="B249" s="570"/>
      <c r="C249" s="570"/>
      <c r="D249" s="571"/>
      <c r="E249" s="572"/>
      <c r="F249" s="573"/>
      <c r="G249" s="942"/>
      <c r="H249" s="602"/>
      <c r="I249" s="574"/>
      <c r="J249" s="574"/>
      <c r="K249" s="955"/>
      <c r="L249" s="1217" t="s">
        <v>680</v>
      </c>
      <c r="M249" s="912" t="s">
        <v>726</v>
      </c>
      <c r="N249" s="910" t="s">
        <v>716</v>
      </c>
      <c r="O249" s="911">
        <f>'사. 임직원보수 일람표'!H126</f>
        <v>2164000</v>
      </c>
      <c r="P249" s="913" t="s">
        <v>724</v>
      </c>
      <c r="Q249" s="921">
        <v>0.6</v>
      </c>
      <c r="R249" s="913" t="s">
        <v>724</v>
      </c>
      <c r="S249" s="920">
        <v>1</v>
      </c>
      <c r="T249" s="916" t="s">
        <v>345</v>
      </c>
      <c r="U249" s="917">
        <f t="shared" si="9"/>
        <v>1298400</v>
      </c>
      <c r="AE249" s="1054"/>
    </row>
    <row r="250" spans="1:31" ht="21.75" hidden="1" customHeight="1" x14ac:dyDescent="0.15">
      <c r="A250" s="569"/>
      <c r="B250" s="570"/>
      <c r="C250" s="570"/>
      <c r="D250" s="571"/>
      <c r="E250" s="572"/>
      <c r="F250" s="573"/>
      <c r="G250" s="942"/>
      <c r="H250" s="602"/>
      <c r="I250" s="574"/>
      <c r="J250" s="574"/>
      <c r="K250" s="955"/>
      <c r="L250" s="1217" t="s">
        <v>680</v>
      </c>
      <c r="M250" s="912" t="s">
        <v>726</v>
      </c>
      <c r="N250" s="910" t="s">
        <v>717</v>
      </c>
      <c r="O250" s="911">
        <f>'사. 임직원보수 일람표'!H127</f>
        <v>2036000</v>
      </c>
      <c r="P250" s="913" t="s">
        <v>724</v>
      </c>
      <c r="Q250" s="921">
        <v>0.6</v>
      </c>
      <c r="R250" s="913" t="s">
        <v>724</v>
      </c>
      <c r="S250" s="920">
        <v>2</v>
      </c>
      <c r="T250" s="916" t="s">
        <v>345</v>
      </c>
      <c r="U250" s="917">
        <f t="shared" si="9"/>
        <v>2443200</v>
      </c>
      <c r="AE250" s="1054"/>
    </row>
    <row r="251" spans="1:31" ht="21.75" hidden="1" customHeight="1" x14ac:dyDescent="0.15">
      <c r="A251" s="569"/>
      <c r="B251" s="570"/>
      <c r="C251" s="570"/>
      <c r="D251" s="571"/>
      <c r="E251" s="572"/>
      <c r="F251" s="573"/>
      <c r="G251" s="942"/>
      <c r="H251" s="602"/>
      <c r="I251" s="574"/>
      <c r="J251" s="574"/>
      <c r="K251" s="955"/>
      <c r="L251" s="1217" t="s">
        <v>680</v>
      </c>
      <c r="M251" s="912" t="s">
        <v>726</v>
      </c>
      <c r="N251" s="910" t="s">
        <v>717</v>
      </c>
      <c r="O251" s="911">
        <f>'사. 임직원보수 일람표'!H128</f>
        <v>0</v>
      </c>
      <c r="P251" s="913" t="s">
        <v>724</v>
      </c>
      <c r="Q251" s="921">
        <v>0.6</v>
      </c>
      <c r="R251" s="913" t="s">
        <v>724</v>
      </c>
      <c r="S251" s="920">
        <v>0</v>
      </c>
      <c r="T251" s="916" t="s">
        <v>345</v>
      </c>
      <c r="U251" s="917">
        <f t="shared" ref="U251" si="14">O251*Q251*S251</f>
        <v>0</v>
      </c>
      <c r="AE251" s="1054"/>
    </row>
    <row r="252" spans="1:31" ht="21.75" hidden="1" customHeight="1" x14ac:dyDescent="0.15">
      <c r="A252" s="569"/>
      <c r="B252" s="570"/>
      <c r="C252" s="570"/>
      <c r="D252" s="571"/>
      <c r="E252" s="572"/>
      <c r="F252" s="573"/>
      <c r="G252" s="942"/>
      <c r="H252" s="602"/>
      <c r="I252" s="574"/>
      <c r="J252" s="574"/>
      <c r="K252" s="955"/>
      <c r="L252" s="1217" t="s">
        <v>680</v>
      </c>
      <c r="M252" s="912" t="s">
        <v>726</v>
      </c>
      <c r="N252" s="910" t="s">
        <v>718</v>
      </c>
      <c r="O252" s="911">
        <f>'사. 임직원보수 일람표'!H129</f>
        <v>2036000</v>
      </c>
      <c r="P252" s="913" t="s">
        <v>724</v>
      </c>
      <c r="Q252" s="921">
        <v>0.6</v>
      </c>
      <c r="R252" s="913" t="s">
        <v>724</v>
      </c>
      <c r="S252" s="920">
        <v>2</v>
      </c>
      <c r="T252" s="916" t="s">
        <v>345</v>
      </c>
      <c r="U252" s="917">
        <f t="shared" si="9"/>
        <v>2443200</v>
      </c>
      <c r="AE252" s="1054"/>
    </row>
    <row r="253" spans="1:31" ht="21.75" hidden="1" customHeight="1" x14ac:dyDescent="0.15">
      <c r="A253" s="569"/>
      <c r="B253" s="570"/>
      <c r="C253" s="570"/>
      <c r="D253" s="571"/>
      <c r="E253" s="572"/>
      <c r="F253" s="573"/>
      <c r="G253" s="942"/>
      <c r="H253" s="602"/>
      <c r="I253" s="574"/>
      <c r="J253" s="574"/>
      <c r="K253" s="955"/>
      <c r="L253" s="1217" t="s">
        <v>680</v>
      </c>
      <c r="M253" s="912" t="s">
        <v>726</v>
      </c>
      <c r="N253" s="910" t="s">
        <v>718</v>
      </c>
      <c r="O253" s="911">
        <f>'사. 임직원보수 일람표'!H130</f>
        <v>0</v>
      </c>
      <c r="P253" s="913" t="s">
        <v>724</v>
      </c>
      <c r="Q253" s="921">
        <v>0.6</v>
      </c>
      <c r="R253" s="913" t="s">
        <v>724</v>
      </c>
      <c r="S253" s="920">
        <v>0</v>
      </c>
      <c r="T253" s="916" t="s">
        <v>345</v>
      </c>
      <c r="U253" s="917">
        <f t="shared" ref="U253" si="15">O253*Q253*S253</f>
        <v>0</v>
      </c>
      <c r="AE253" s="1054"/>
    </row>
    <row r="254" spans="1:31" ht="21.75" hidden="1" customHeight="1" x14ac:dyDescent="0.15">
      <c r="A254" s="569"/>
      <c r="B254" s="570"/>
      <c r="C254" s="570"/>
      <c r="D254" s="571"/>
      <c r="E254" s="572"/>
      <c r="F254" s="573"/>
      <c r="G254" s="942"/>
      <c r="H254" s="602"/>
      <c r="I254" s="574"/>
      <c r="J254" s="574"/>
      <c r="K254" s="955"/>
      <c r="L254" s="1217" t="s">
        <v>680</v>
      </c>
      <c r="M254" s="912" t="s">
        <v>726</v>
      </c>
      <c r="N254" s="910" t="s">
        <v>719</v>
      </c>
      <c r="O254" s="911">
        <f>'사. 임직원보수 일람표'!H131</f>
        <v>2099000</v>
      </c>
      <c r="P254" s="913" t="s">
        <v>724</v>
      </c>
      <c r="Q254" s="921">
        <v>0.6</v>
      </c>
      <c r="R254" s="913" t="s">
        <v>724</v>
      </c>
      <c r="S254" s="920">
        <v>1</v>
      </c>
      <c r="T254" s="916" t="s">
        <v>345</v>
      </c>
      <c r="U254" s="917">
        <f t="shared" si="9"/>
        <v>1259400</v>
      </c>
      <c r="AE254" s="1054"/>
    </row>
    <row r="255" spans="1:31" ht="21.75" hidden="1" customHeight="1" x14ac:dyDescent="0.15">
      <c r="A255" s="569"/>
      <c r="B255" s="570"/>
      <c r="C255" s="570"/>
      <c r="D255" s="571"/>
      <c r="E255" s="572"/>
      <c r="F255" s="573"/>
      <c r="G255" s="942"/>
      <c r="H255" s="602"/>
      <c r="I255" s="574"/>
      <c r="J255" s="574"/>
      <c r="K255" s="955"/>
      <c r="L255" s="1217" t="s">
        <v>680</v>
      </c>
      <c r="M255" s="912" t="s">
        <v>726</v>
      </c>
      <c r="N255" s="910" t="s">
        <v>719</v>
      </c>
      <c r="O255" s="911">
        <f>'사. 임직원보수 일람표'!H132</f>
        <v>2164000</v>
      </c>
      <c r="P255" s="913" t="s">
        <v>724</v>
      </c>
      <c r="Q255" s="921">
        <v>0.6</v>
      </c>
      <c r="R255" s="913" t="s">
        <v>724</v>
      </c>
      <c r="S255" s="920">
        <v>1</v>
      </c>
      <c r="T255" s="916" t="s">
        <v>345</v>
      </c>
      <c r="U255" s="917">
        <f t="shared" si="9"/>
        <v>1298400</v>
      </c>
      <c r="AE255" s="1054"/>
    </row>
    <row r="256" spans="1:31" ht="21.75" hidden="1" customHeight="1" x14ac:dyDescent="0.15">
      <c r="A256" s="569"/>
      <c r="B256" s="570"/>
      <c r="C256" s="570"/>
      <c r="D256" s="571"/>
      <c r="E256" s="572"/>
      <c r="F256" s="573"/>
      <c r="G256" s="942"/>
      <c r="H256" s="602"/>
      <c r="I256" s="574"/>
      <c r="J256" s="574"/>
      <c r="K256" s="955"/>
      <c r="L256" s="1217" t="s">
        <v>680</v>
      </c>
      <c r="M256" s="912" t="s">
        <v>726</v>
      </c>
      <c r="N256" s="910" t="s">
        <v>720</v>
      </c>
      <c r="O256" s="911">
        <f>'사. 임직원보수 일람표'!H133</f>
        <v>2099000</v>
      </c>
      <c r="P256" s="913" t="s">
        <v>724</v>
      </c>
      <c r="Q256" s="921">
        <v>0.6</v>
      </c>
      <c r="R256" s="913" t="s">
        <v>724</v>
      </c>
      <c r="S256" s="920">
        <v>1</v>
      </c>
      <c r="T256" s="916" t="s">
        <v>345</v>
      </c>
      <c r="U256" s="917">
        <f t="shared" si="9"/>
        <v>1259400</v>
      </c>
      <c r="AE256" s="1054"/>
    </row>
    <row r="257" spans="1:31" ht="21.75" hidden="1" customHeight="1" x14ac:dyDescent="0.15">
      <c r="A257" s="569"/>
      <c r="B257" s="570"/>
      <c r="C257" s="570"/>
      <c r="D257" s="571"/>
      <c r="E257" s="572"/>
      <c r="F257" s="573"/>
      <c r="G257" s="942"/>
      <c r="H257" s="602"/>
      <c r="I257" s="574"/>
      <c r="J257" s="574"/>
      <c r="K257" s="955"/>
      <c r="L257" s="1217" t="s">
        <v>680</v>
      </c>
      <c r="M257" s="912" t="s">
        <v>726</v>
      </c>
      <c r="N257" s="910" t="s">
        <v>720</v>
      </c>
      <c r="O257" s="911">
        <f>'사. 임직원보수 일람표'!H134</f>
        <v>2164000</v>
      </c>
      <c r="P257" s="913" t="s">
        <v>724</v>
      </c>
      <c r="Q257" s="921">
        <v>0.6</v>
      </c>
      <c r="R257" s="913" t="s">
        <v>724</v>
      </c>
      <c r="S257" s="920">
        <v>1</v>
      </c>
      <c r="T257" s="916" t="s">
        <v>345</v>
      </c>
      <c r="U257" s="917">
        <f t="shared" si="9"/>
        <v>1298400</v>
      </c>
      <c r="AE257" s="1054"/>
    </row>
    <row r="258" spans="1:31" ht="21.75" hidden="1" customHeight="1" x14ac:dyDescent="0.15">
      <c r="A258" s="569"/>
      <c r="B258" s="570"/>
      <c r="C258" s="570"/>
      <c r="D258" s="571"/>
      <c r="E258" s="572"/>
      <c r="F258" s="573"/>
      <c r="G258" s="942"/>
      <c r="H258" s="602"/>
      <c r="I258" s="574"/>
      <c r="J258" s="574"/>
      <c r="K258" s="955"/>
      <c r="L258" s="1217" t="s">
        <v>680</v>
      </c>
      <c r="M258" s="912" t="s">
        <v>726</v>
      </c>
      <c r="N258" s="910" t="s">
        <v>721</v>
      </c>
      <c r="O258" s="911">
        <f>'사. 임직원보수 일람표'!H135</f>
        <v>1978000</v>
      </c>
      <c r="P258" s="913" t="s">
        <v>724</v>
      </c>
      <c r="Q258" s="921">
        <v>0.6</v>
      </c>
      <c r="R258" s="913" t="s">
        <v>724</v>
      </c>
      <c r="S258" s="920">
        <v>1</v>
      </c>
      <c r="T258" s="916" t="s">
        <v>345</v>
      </c>
      <c r="U258" s="917">
        <f t="shared" si="9"/>
        <v>1186800</v>
      </c>
      <c r="AE258" s="1054"/>
    </row>
    <row r="259" spans="1:31" ht="21.75" hidden="1" customHeight="1" x14ac:dyDescent="0.15">
      <c r="A259" s="569"/>
      <c r="B259" s="570"/>
      <c r="C259" s="570"/>
      <c r="D259" s="571"/>
      <c r="E259" s="572"/>
      <c r="F259" s="573"/>
      <c r="G259" s="942"/>
      <c r="H259" s="602"/>
      <c r="I259" s="574"/>
      <c r="J259" s="574"/>
      <c r="K259" s="955"/>
      <c r="L259" s="1217" t="s">
        <v>680</v>
      </c>
      <c r="M259" s="912" t="s">
        <v>726</v>
      </c>
      <c r="N259" s="910" t="s">
        <v>721</v>
      </c>
      <c r="O259" s="911">
        <f>'사. 임직원보수 일람표'!H136</f>
        <v>2036000</v>
      </c>
      <c r="P259" s="913" t="s">
        <v>724</v>
      </c>
      <c r="Q259" s="921">
        <v>0.6</v>
      </c>
      <c r="R259" s="913" t="s">
        <v>724</v>
      </c>
      <c r="S259" s="920">
        <v>1</v>
      </c>
      <c r="T259" s="916" t="s">
        <v>345</v>
      </c>
      <c r="U259" s="917">
        <f t="shared" si="9"/>
        <v>1221600</v>
      </c>
      <c r="AE259" s="1054"/>
    </row>
    <row r="260" spans="1:31" ht="21.75" hidden="1" customHeight="1" x14ac:dyDescent="0.15">
      <c r="A260" s="569"/>
      <c r="B260" s="570"/>
      <c r="C260" s="570"/>
      <c r="D260" s="571"/>
      <c r="E260" s="572"/>
      <c r="F260" s="573"/>
      <c r="G260" s="942"/>
      <c r="H260" s="602"/>
      <c r="I260" s="574"/>
      <c r="J260" s="574"/>
      <c r="K260" s="955"/>
      <c r="L260" s="1217" t="s">
        <v>680</v>
      </c>
      <c r="M260" s="912" t="s">
        <v>726</v>
      </c>
      <c r="N260" s="910" t="s">
        <v>722</v>
      </c>
      <c r="O260" s="911">
        <f>'사. 임직원보수 일람표'!H137</f>
        <v>2099000</v>
      </c>
      <c r="P260" s="913" t="s">
        <v>724</v>
      </c>
      <c r="Q260" s="921">
        <v>0.6</v>
      </c>
      <c r="R260" s="913" t="s">
        <v>724</v>
      </c>
      <c r="S260" s="920">
        <v>2</v>
      </c>
      <c r="T260" s="916" t="s">
        <v>345</v>
      </c>
      <c r="U260" s="917">
        <f t="shared" si="9"/>
        <v>2518800</v>
      </c>
      <c r="AE260" s="1054"/>
    </row>
    <row r="261" spans="1:31" ht="21.75" hidden="1" customHeight="1" x14ac:dyDescent="0.15">
      <c r="A261" s="569"/>
      <c r="B261" s="570"/>
      <c r="C261" s="570"/>
      <c r="D261" s="571"/>
      <c r="E261" s="572"/>
      <c r="F261" s="573"/>
      <c r="G261" s="942"/>
      <c r="H261" s="602"/>
      <c r="I261" s="574"/>
      <c r="J261" s="574"/>
      <c r="K261" s="955"/>
      <c r="L261" s="1217" t="s">
        <v>680</v>
      </c>
      <c r="M261" s="912" t="s">
        <v>726</v>
      </c>
      <c r="N261" s="910" t="s">
        <v>1246</v>
      </c>
      <c r="O261" s="911"/>
      <c r="P261" s="913" t="s">
        <v>724</v>
      </c>
      <c r="Q261" s="921">
        <v>0.6</v>
      </c>
      <c r="R261" s="913" t="s">
        <v>724</v>
      </c>
      <c r="S261" s="920">
        <v>0</v>
      </c>
      <c r="T261" s="916" t="s">
        <v>345</v>
      </c>
      <c r="U261" s="917">
        <f t="shared" si="9"/>
        <v>0</v>
      </c>
      <c r="AE261" s="1054"/>
    </row>
    <row r="262" spans="1:31" ht="21.75" hidden="1" customHeight="1" x14ac:dyDescent="0.15">
      <c r="A262" s="569"/>
      <c r="B262" s="570"/>
      <c r="C262" s="570"/>
      <c r="D262" s="571"/>
      <c r="E262" s="572"/>
      <c r="F262" s="573"/>
      <c r="G262" s="942"/>
      <c r="H262" s="602"/>
      <c r="I262" s="574"/>
      <c r="J262" s="574"/>
      <c r="K262" s="955"/>
      <c r="L262" s="1217" t="s">
        <v>680</v>
      </c>
      <c r="M262" s="912" t="s">
        <v>726</v>
      </c>
      <c r="N262" s="910" t="s">
        <v>723</v>
      </c>
      <c r="O262" s="911">
        <f>'사. 임직원보수 일람표'!H139</f>
        <v>2099000</v>
      </c>
      <c r="P262" s="913" t="s">
        <v>724</v>
      </c>
      <c r="Q262" s="921">
        <v>0.6</v>
      </c>
      <c r="R262" s="913" t="s">
        <v>724</v>
      </c>
      <c r="S262" s="920">
        <v>2</v>
      </c>
      <c r="T262" s="916" t="s">
        <v>345</v>
      </c>
      <c r="U262" s="917">
        <f t="shared" ref="U262" si="16">O262*Q262*S262</f>
        <v>2518800</v>
      </c>
      <c r="AE262" s="1054"/>
    </row>
    <row r="263" spans="1:31" ht="21.75" hidden="1" customHeight="1" x14ac:dyDescent="0.15">
      <c r="A263" s="569"/>
      <c r="B263" s="570"/>
      <c r="C263" s="570"/>
      <c r="D263" s="571"/>
      <c r="E263" s="572"/>
      <c r="F263" s="573"/>
      <c r="G263" s="942"/>
      <c r="H263" s="602"/>
      <c r="I263" s="574"/>
      <c r="J263" s="574"/>
      <c r="K263" s="955"/>
      <c r="L263" s="1217" t="s">
        <v>680</v>
      </c>
      <c r="M263" s="912" t="s">
        <v>726</v>
      </c>
      <c r="N263" s="910" t="s">
        <v>723</v>
      </c>
      <c r="O263" s="911">
        <f>'사. 임직원보수 일람표'!H140</f>
        <v>0</v>
      </c>
      <c r="P263" s="913" t="s">
        <v>724</v>
      </c>
      <c r="Q263" s="921">
        <v>0.6</v>
      </c>
      <c r="R263" s="913" t="s">
        <v>724</v>
      </c>
      <c r="S263" s="920">
        <v>0</v>
      </c>
      <c r="T263" s="916" t="s">
        <v>345</v>
      </c>
      <c r="U263" s="917">
        <f t="shared" si="9"/>
        <v>0</v>
      </c>
      <c r="AE263" s="1054"/>
    </row>
    <row r="264" spans="1:31" ht="21.75" hidden="1" customHeight="1" x14ac:dyDescent="0.15">
      <c r="A264" s="569"/>
      <c r="B264" s="570"/>
      <c r="C264" s="570"/>
      <c r="D264" s="571"/>
      <c r="E264" s="572"/>
      <c r="F264" s="573"/>
      <c r="G264" s="942"/>
      <c r="H264" s="602"/>
      <c r="I264" s="574"/>
      <c r="J264" s="574"/>
      <c r="K264" s="955"/>
      <c r="L264" s="1217" t="s">
        <v>680</v>
      </c>
      <c r="M264" s="912" t="s">
        <v>726</v>
      </c>
      <c r="N264" s="910" t="s">
        <v>1247</v>
      </c>
      <c r="O264" s="911">
        <f>'사. 임직원보수 일람표'!H141</f>
        <v>2099000</v>
      </c>
      <c r="P264" s="913" t="s">
        <v>724</v>
      </c>
      <c r="Q264" s="921">
        <v>0.6</v>
      </c>
      <c r="R264" s="913" t="s">
        <v>724</v>
      </c>
      <c r="S264" s="920">
        <v>2</v>
      </c>
      <c r="T264" s="916" t="s">
        <v>345</v>
      </c>
      <c r="U264" s="917">
        <f t="shared" ref="U264" si="17">O264*Q264*S264</f>
        <v>2518800</v>
      </c>
      <c r="AE264" s="1054"/>
    </row>
    <row r="265" spans="1:31" ht="21.75" hidden="1" customHeight="1" x14ac:dyDescent="0.15">
      <c r="A265" s="569"/>
      <c r="B265" s="570"/>
      <c r="C265" s="570"/>
      <c r="D265" s="571"/>
      <c r="E265" s="572"/>
      <c r="F265" s="573"/>
      <c r="G265" s="942"/>
      <c r="H265" s="602"/>
      <c r="I265" s="574"/>
      <c r="J265" s="574"/>
      <c r="K265" s="955"/>
      <c r="L265" s="1217" t="s">
        <v>680</v>
      </c>
      <c r="M265" s="912" t="s">
        <v>726</v>
      </c>
      <c r="N265" s="910" t="s">
        <v>1248</v>
      </c>
      <c r="O265" s="911">
        <f>'사. 임직원보수 일람표'!H142</f>
        <v>0</v>
      </c>
      <c r="P265" s="913" t="s">
        <v>724</v>
      </c>
      <c r="Q265" s="921">
        <v>0.6</v>
      </c>
      <c r="R265" s="913" t="s">
        <v>724</v>
      </c>
      <c r="S265" s="920">
        <v>0</v>
      </c>
      <c r="T265" s="916" t="s">
        <v>345</v>
      </c>
      <c r="U265" s="917">
        <f t="shared" si="9"/>
        <v>0</v>
      </c>
      <c r="AE265" s="1054"/>
    </row>
    <row r="266" spans="1:31" ht="21.75" hidden="1" customHeight="1" x14ac:dyDescent="0.15">
      <c r="A266" s="569"/>
      <c r="B266" s="570"/>
      <c r="C266" s="570"/>
      <c r="D266" s="571"/>
      <c r="E266" s="572"/>
      <c r="F266" s="573"/>
      <c r="G266" s="942"/>
      <c r="H266" s="602"/>
      <c r="I266" s="574"/>
      <c r="J266" s="574"/>
      <c r="K266" s="955"/>
      <c r="L266" s="1217" t="s">
        <v>680</v>
      </c>
      <c r="M266" s="912" t="s">
        <v>726</v>
      </c>
      <c r="N266" s="910" t="s">
        <v>1249</v>
      </c>
      <c r="O266" s="911">
        <f>'사. 임직원보수 일람표'!H143</f>
        <v>2036000</v>
      </c>
      <c r="P266" s="913" t="s">
        <v>724</v>
      </c>
      <c r="Q266" s="921">
        <v>0.6</v>
      </c>
      <c r="R266" s="913" t="s">
        <v>724</v>
      </c>
      <c r="S266" s="920">
        <v>1</v>
      </c>
      <c r="T266" s="916" t="s">
        <v>345</v>
      </c>
      <c r="U266" s="917">
        <f t="shared" ref="U266" si="18">O266*Q266*S266</f>
        <v>1221600</v>
      </c>
      <c r="AE266" s="1054"/>
    </row>
    <row r="267" spans="1:31" ht="21.75" hidden="1" customHeight="1" x14ac:dyDescent="0.15">
      <c r="A267" s="569"/>
      <c r="B267" s="570"/>
      <c r="C267" s="570"/>
      <c r="D267" s="571"/>
      <c r="E267" s="572"/>
      <c r="F267" s="573"/>
      <c r="G267" s="942"/>
      <c r="H267" s="602"/>
      <c r="I267" s="574"/>
      <c r="J267" s="574"/>
      <c r="K267" s="955"/>
      <c r="L267" s="1217" t="s">
        <v>680</v>
      </c>
      <c r="M267" s="912" t="s">
        <v>726</v>
      </c>
      <c r="N267" s="910" t="s">
        <v>1249</v>
      </c>
      <c r="O267" s="911">
        <f>'사. 임직원보수 일람표'!H144</f>
        <v>2099000</v>
      </c>
      <c r="P267" s="913" t="s">
        <v>724</v>
      </c>
      <c r="Q267" s="921">
        <v>0.6</v>
      </c>
      <c r="R267" s="913" t="s">
        <v>724</v>
      </c>
      <c r="S267" s="920">
        <v>1</v>
      </c>
      <c r="T267" s="916" t="s">
        <v>345</v>
      </c>
      <c r="U267" s="917">
        <f t="shared" ref="U267" si="19">O267*Q267*S267</f>
        <v>1259400</v>
      </c>
      <c r="AE267" s="1054"/>
    </row>
    <row r="268" spans="1:31" ht="21.75" hidden="1" customHeight="1" x14ac:dyDescent="0.15">
      <c r="A268" s="569"/>
      <c r="B268" s="570"/>
      <c r="C268" s="570"/>
      <c r="D268" s="571"/>
      <c r="E268" s="572"/>
      <c r="F268" s="573"/>
      <c r="G268" s="942"/>
      <c r="H268" s="602"/>
      <c r="I268" s="574"/>
      <c r="J268" s="574"/>
      <c r="K268" s="955"/>
      <c r="L268" s="1217" t="s">
        <v>680</v>
      </c>
      <c r="M268" s="912" t="s">
        <v>726</v>
      </c>
      <c r="N268" s="910" t="s">
        <v>1251</v>
      </c>
      <c r="O268" s="911">
        <f>'사. 임직원보수 일람표'!H145</f>
        <v>1978000</v>
      </c>
      <c r="P268" s="913" t="s">
        <v>724</v>
      </c>
      <c r="Q268" s="921">
        <v>0.6</v>
      </c>
      <c r="R268" s="913" t="s">
        <v>724</v>
      </c>
      <c r="S268" s="920">
        <v>1</v>
      </c>
      <c r="T268" s="916" t="s">
        <v>345</v>
      </c>
      <c r="U268" s="917">
        <f t="shared" si="9"/>
        <v>1186800</v>
      </c>
      <c r="AE268" s="1054"/>
    </row>
    <row r="269" spans="1:31" ht="21.75" hidden="1" customHeight="1" x14ac:dyDescent="0.15">
      <c r="A269" s="569"/>
      <c r="B269" s="570"/>
      <c r="C269" s="570"/>
      <c r="D269" s="571"/>
      <c r="E269" s="572"/>
      <c r="F269" s="573"/>
      <c r="G269" s="942"/>
      <c r="H269" s="602"/>
      <c r="I269" s="574"/>
      <c r="J269" s="574"/>
      <c r="K269" s="955"/>
      <c r="L269" s="1217" t="s">
        <v>680</v>
      </c>
      <c r="M269" s="912" t="s">
        <v>726</v>
      </c>
      <c r="N269" s="910" t="s">
        <v>1250</v>
      </c>
      <c r="O269" s="911">
        <f>'사. 임직원보수 일람표'!H146</f>
        <v>2036000</v>
      </c>
      <c r="P269" s="913" t="s">
        <v>724</v>
      </c>
      <c r="Q269" s="921">
        <v>0.6</v>
      </c>
      <c r="R269" s="913" t="s">
        <v>724</v>
      </c>
      <c r="S269" s="920">
        <v>1</v>
      </c>
      <c r="T269" s="916" t="s">
        <v>345</v>
      </c>
      <c r="U269" s="917">
        <f>O269*Q269*S269</f>
        <v>1221600</v>
      </c>
      <c r="V269" s="544">
        <f>SUM(U246:U269)</f>
        <v>29857200</v>
      </c>
      <c r="W269" s="544">
        <f>V269-'사. 임직원보수 일람표'!J149</f>
        <v>0</v>
      </c>
      <c r="AE269" s="1054"/>
    </row>
    <row r="270" spans="1:31" ht="21.75" hidden="1" customHeight="1" x14ac:dyDescent="0.15">
      <c r="A270" s="569"/>
      <c r="B270" s="570"/>
      <c r="C270" s="570"/>
      <c r="D270" s="571"/>
      <c r="E270" s="572"/>
      <c r="F270" s="573"/>
      <c r="G270" s="942"/>
      <c r="H270" s="602"/>
      <c r="I270" s="574"/>
      <c r="J270" s="574"/>
      <c r="K270" s="955"/>
      <c r="L270" s="1217" t="s">
        <v>916</v>
      </c>
      <c r="M270" s="912" t="s">
        <v>910</v>
      </c>
      <c r="N270" s="910" t="s">
        <v>919</v>
      </c>
      <c r="O270" s="911">
        <f>'사. 임직원보수 일람표'!H155</f>
        <v>2481000</v>
      </c>
      <c r="P270" s="913" t="s">
        <v>724</v>
      </c>
      <c r="Q270" s="921">
        <v>0.6</v>
      </c>
      <c r="R270" s="913" t="s">
        <v>724</v>
      </c>
      <c r="S270" s="920">
        <v>1</v>
      </c>
      <c r="T270" s="916" t="s">
        <v>345</v>
      </c>
      <c r="U270" s="917">
        <f>O270*Q270*S270</f>
        <v>1488600</v>
      </c>
      <c r="AE270" s="1054"/>
    </row>
    <row r="271" spans="1:31" ht="21.75" hidden="1" customHeight="1" x14ac:dyDescent="0.15">
      <c r="A271" s="569"/>
      <c r="B271" s="570"/>
      <c r="C271" s="570"/>
      <c r="D271" s="571"/>
      <c r="E271" s="572"/>
      <c r="F271" s="573"/>
      <c r="G271" s="942"/>
      <c r="H271" s="602"/>
      <c r="I271" s="574"/>
      <c r="J271" s="574"/>
      <c r="K271" s="955"/>
      <c r="L271" s="1217" t="s">
        <v>916</v>
      </c>
      <c r="M271" s="912" t="s">
        <v>910</v>
      </c>
      <c r="N271" s="910" t="s">
        <v>919</v>
      </c>
      <c r="O271" s="911">
        <f>'사. 임직원보수 일람표'!H156</f>
        <v>2607000</v>
      </c>
      <c r="P271" s="913" t="s">
        <v>724</v>
      </c>
      <c r="Q271" s="921">
        <v>0.6</v>
      </c>
      <c r="R271" s="913" t="s">
        <v>724</v>
      </c>
      <c r="S271" s="920">
        <v>1</v>
      </c>
      <c r="T271" s="916" t="s">
        <v>345</v>
      </c>
      <c r="U271" s="917">
        <f>O271*Q271*S271</f>
        <v>1564200</v>
      </c>
      <c r="AE271" s="1054"/>
    </row>
    <row r="272" spans="1:31" ht="21.75" hidden="1" customHeight="1" x14ac:dyDescent="0.15">
      <c r="A272" s="569"/>
      <c r="B272" s="570"/>
      <c r="C272" s="570"/>
      <c r="D272" s="571"/>
      <c r="E272" s="572"/>
      <c r="F272" s="573"/>
      <c r="G272" s="942"/>
      <c r="H272" s="602"/>
      <c r="I272" s="574"/>
      <c r="J272" s="574"/>
      <c r="K272" s="955"/>
      <c r="L272" s="1217" t="s">
        <v>917</v>
      </c>
      <c r="M272" s="912" t="s">
        <v>918</v>
      </c>
      <c r="N272" s="910" t="s">
        <v>688</v>
      </c>
      <c r="O272" s="911">
        <f>'사. 임직원보수 일람표'!H157</f>
        <v>2616000</v>
      </c>
      <c r="P272" s="913" t="s">
        <v>724</v>
      </c>
      <c r="Q272" s="921">
        <v>0.6</v>
      </c>
      <c r="R272" s="913" t="s">
        <v>724</v>
      </c>
      <c r="S272" s="920">
        <v>1</v>
      </c>
      <c r="T272" s="916" t="s">
        <v>345</v>
      </c>
      <c r="U272" s="917">
        <f>O272*Q272*S272</f>
        <v>1569600</v>
      </c>
      <c r="AE272" s="1054"/>
    </row>
    <row r="273" spans="1:31" ht="21.75" hidden="1" customHeight="1" x14ac:dyDescent="0.15">
      <c r="A273" s="569"/>
      <c r="B273" s="570"/>
      <c r="C273" s="570"/>
      <c r="D273" s="571"/>
      <c r="E273" s="572"/>
      <c r="F273" s="573"/>
      <c r="G273" s="942"/>
      <c r="H273" s="602"/>
      <c r="I273" s="574"/>
      <c r="J273" s="574"/>
      <c r="K273" s="955"/>
      <c r="L273" s="1217" t="s">
        <v>917</v>
      </c>
      <c r="M273" s="912" t="s">
        <v>918</v>
      </c>
      <c r="N273" s="910" t="s">
        <v>688</v>
      </c>
      <c r="O273" s="911">
        <f>'사. 임직원보수 일람표'!H158</f>
        <v>2667000</v>
      </c>
      <c r="P273" s="913" t="s">
        <v>724</v>
      </c>
      <c r="Q273" s="921">
        <v>0.6</v>
      </c>
      <c r="R273" s="913" t="s">
        <v>724</v>
      </c>
      <c r="S273" s="920">
        <v>1</v>
      </c>
      <c r="T273" s="916" t="s">
        <v>345</v>
      </c>
      <c r="U273" s="917">
        <f t="shared" si="9"/>
        <v>1600200</v>
      </c>
      <c r="V273" s="544">
        <f>SUM(U270:U273)</f>
        <v>6222600</v>
      </c>
      <c r="W273" s="544">
        <f>V273-'사. 임직원보수 일람표'!J161</f>
        <v>0</v>
      </c>
      <c r="AE273" s="1054"/>
    </row>
    <row r="274" spans="1:31" ht="21.75" customHeight="1" x14ac:dyDescent="0.15">
      <c r="A274" s="569"/>
      <c r="B274" s="570"/>
      <c r="C274" s="570"/>
      <c r="D274" s="571"/>
      <c r="E274" s="572"/>
      <c r="F274" s="573"/>
      <c r="G274" s="942"/>
      <c r="H274" s="602"/>
      <c r="I274" s="574"/>
      <c r="J274" s="574"/>
      <c r="K274" s="955"/>
      <c r="L274" s="1216" t="s">
        <v>731</v>
      </c>
      <c r="M274" s="975"/>
      <c r="N274" s="976"/>
      <c r="O274" s="975"/>
      <c r="P274" s="977"/>
      <c r="Q274" s="975"/>
      <c r="R274" s="978"/>
      <c r="S274" s="975"/>
      <c r="T274" s="975"/>
      <c r="U274" s="979">
        <f>SUM(U275:U316)</f>
        <v>24960000</v>
      </c>
      <c r="V274" s="544">
        <f>U274-'사. 임직원보수 일람표'!K214</f>
        <v>0</v>
      </c>
      <c r="AE274" s="1054"/>
    </row>
    <row r="275" spans="1:31" ht="21.75" hidden="1" customHeight="1" x14ac:dyDescent="0.15">
      <c r="A275" s="569"/>
      <c r="B275" s="570"/>
      <c r="C275" s="570"/>
      <c r="D275" s="571"/>
      <c r="E275" s="572"/>
      <c r="F275" s="573"/>
      <c r="G275" s="942"/>
      <c r="H275" s="602"/>
      <c r="I275" s="574"/>
      <c r="J275" s="574"/>
      <c r="K275" s="955"/>
      <c r="L275" s="1217" t="s">
        <v>657</v>
      </c>
      <c r="M275" s="910" t="s">
        <v>657</v>
      </c>
      <c r="N275" s="910" t="s">
        <v>658</v>
      </c>
      <c r="O275" s="911">
        <v>120000</v>
      </c>
      <c r="P275" s="913" t="s">
        <v>724</v>
      </c>
      <c r="Q275" s="922">
        <v>1</v>
      </c>
      <c r="R275" s="913" t="s">
        <v>724</v>
      </c>
      <c r="S275" s="920">
        <v>12</v>
      </c>
      <c r="T275" s="916" t="s">
        <v>345</v>
      </c>
      <c r="U275" s="917">
        <f>O275*Q275*S275</f>
        <v>1440000</v>
      </c>
      <c r="AE275" s="1054"/>
    </row>
    <row r="276" spans="1:31" ht="21.75" hidden="1" customHeight="1" x14ac:dyDescent="0.15">
      <c r="A276" s="569"/>
      <c r="B276" s="570"/>
      <c r="C276" s="570"/>
      <c r="D276" s="571"/>
      <c r="E276" s="572"/>
      <c r="F276" s="573"/>
      <c r="G276" s="942"/>
      <c r="H276" s="602"/>
      <c r="I276" s="574"/>
      <c r="J276" s="574"/>
      <c r="K276" s="955"/>
      <c r="L276" s="1217" t="s">
        <v>659</v>
      </c>
      <c r="M276" s="910" t="s">
        <v>660</v>
      </c>
      <c r="N276" s="910" t="s">
        <v>661</v>
      </c>
      <c r="O276" s="911">
        <v>40000</v>
      </c>
      <c r="P276" s="913" t="s">
        <v>724</v>
      </c>
      <c r="Q276" s="922">
        <v>1</v>
      </c>
      <c r="R276" s="913" t="s">
        <v>724</v>
      </c>
      <c r="S276" s="920">
        <v>12</v>
      </c>
      <c r="T276" s="916" t="s">
        <v>345</v>
      </c>
      <c r="U276" s="917">
        <f>O276*Q276*S276</f>
        <v>480000</v>
      </c>
      <c r="AE276" s="1054"/>
    </row>
    <row r="277" spans="1:31" ht="21.75" hidden="1" customHeight="1" x14ac:dyDescent="0.15">
      <c r="A277" s="569"/>
      <c r="B277" s="570"/>
      <c r="C277" s="570"/>
      <c r="D277" s="571"/>
      <c r="E277" s="572"/>
      <c r="F277" s="573"/>
      <c r="G277" s="942"/>
      <c r="H277" s="602"/>
      <c r="I277" s="574"/>
      <c r="J277" s="574"/>
      <c r="K277" s="955"/>
      <c r="L277" s="1217" t="s">
        <v>662</v>
      </c>
      <c r="M277" s="910" t="s">
        <v>663</v>
      </c>
      <c r="N277" s="910" t="s">
        <v>664</v>
      </c>
      <c r="O277" s="911">
        <v>40000</v>
      </c>
      <c r="P277" s="913" t="s">
        <v>724</v>
      </c>
      <c r="Q277" s="922">
        <v>1</v>
      </c>
      <c r="R277" s="913" t="s">
        <v>724</v>
      </c>
      <c r="S277" s="920">
        <v>12</v>
      </c>
      <c r="T277" s="916" t="s">
        <v>345</v>
      </c>
      <c r="U277" s="917">
        <f>O277*Q277*S277</f>
        <v>480000</v>
      </c>
      <c r="AE277" s="1054"/>
    </row>
    <row r="278" spans="1:31" ht="21.75" hidden="1" customHeight="1" x14ac:dyDescent="0.15">
      <c r="A278" s="569"/>
      <c r="B278" s="570"/>
      <c r="C278" s="570"/>
      <c r="D278" s="571"/>
      <c r="E278" s="572"/>
      <c r="F278" s="573"/>
      <c r="G278" s="942"/>
      <c r="H278" s="602"/>
      <c r="I278" s="574"/>
      <c r="J278" s="574"/>
      <c r="K278" s="955"/>
      <c r="L278" s="1217" t="s">
        <v>665</v>
      </c>
      <c r="M278" s="910" t="s">
        <v>663</v>
      </c>
      <c r="N278" s="910" t="s">
        <v>666</v>
      </c>
      <c r="O278" s="911">
        <v>40000</v>
      </c>
      <c r="P278" s="913" t="s">
        <v>724</v>
      </c>
      <c r="Q278" s="922">
        <v>1</v>
      </c>
      <c r="R278" s="913" t="s">
        <v>724</v>
      </c>
      <c r="S278" s="920">
        <v>12</v>
      </c>
      <c r="T278" s="916" t="s">
        <v>345</v>
      </c>
      <c r="U278" s="917">
        <f>O278*Q278*S278</f>
        <v>480000</v>
      </c>
      <c r="AE278" s="1054"/>
    </row>
    <row r="279" spans="1:31" ht="21.75" hidden="1" customHeight="1" x14ac:dyDescent="0.15">
      <c r="A279" s="569"/>
      <c r="B279" s="570"/>
      <c r="C279" s="570"/>
      <c r="D279" s="571"/>
      <c r="E279" s="572"/>
      <c r="F279" s="573"/>
      <c r="G279" s="942"/>
      <c r="H279" s="602"/>
      <c r="I279" s="574"/>
      <c r="J279" s="574"/>
      <c r="K279" s="955"/>
      <c r="L279" s="1217" t="s">
        <v>667</v>
      </c>
      <c r="M279" s="910" t="s">
        <v>920</v>
      </c>
      <c r="N279" s="910" t="s">
        <v>1245</v>
      </c>
      <c r="O279" s="911">
        <v>140000</v>
      </c>
      <c r="P279" s="913" t="s">
        <v>724</v>
      </c>
      <c r="Q279" s="922">
        <v>1</v>
      </c>
      <c r="R279" s="913" t="s">
        <v>724</v>
      </c>
      <c r="S279" s="920">
        <v>12</v>
      </c>
      <c r="T279" s="916" t="s">
        <v>345</v>
      </c>
      <c r="U279" s="917">
        <f t="shared" ref="U279:U301" si="20">O279*Q279*S279</f>
        <v>1680000</v>
      </c>
      <c r="AE279" s="1054"/>
    </row>
    <row r="280" spans="1:31" ht="21.75" hidden="1" customHeight="1" x14ac:dyDescent="0.15">
      <c r="A280" s="569"/>
      <c r="B280" s="570"/>
      <c r="C280" s="570"/>
      <c r="D280" s="571"/>
      <c r="E280" s="572"/>
      <c r="F280" s="573"/>
      <c r="G280" s="942"/>
      <c r="H280" s="602"/>
      <c r="I280" s="574"/>
      <c r="J280" s="574"/>
      <c r="K280" s="955"/>
      <c r="L280" s="1217" t="s">
        <v>668</v>
      </c>
      <c r="M280" s="910"/>
      <c r="N280" s="910" t="s">
        <v>669</v>
      </c>
      <c r="O280" s="911">
        <v>60000</v>
      </c>
      <c r="P280" s="913" t="s">
        <v>724</v>
      </c>
      <c r="Q280" s="922">
        <v>1</v>
      </c>
      <c r="R280" s="913" t="s">
        <v>724</v>
      </c>
      <c r="S280" s="920">
        <v>12</v>
      </c>
      <c r="T280" s="916" t="s">
        <v>345</v>
      </c>
      <c r="U280" s="917">
        <f t="shared" si="20"/>
        <v>720000</v>
      </c>
      <c r="AE280" s="1054"/>
    </row>
    <row r="281" spans="1:31" ht="21.75" hidden="1" customHeight="1" x14ac:dyDescent="0.15">
      <c r="A281" s="569"/>
      <c r="B281" s="570"/>
      <c r="C281" s="570"/>
      <c r="D281" s="571"/>
      <c r="E281" s="572"/>
      <c r="F281" s="573"/>
      <c r="G281" s="942"/>
      <c r="H281" s="602"/>
      <c r="I281" s="574"/>
      <c r="J281" s="574"/>
      <c r="K281" s="955"/>
      <c r="L281" s="1217" t="s">
        <v>670</v>
      </c>
      <c r="M281" s="910"/>
      <c r="N281" s="910" t="s">
        <v>672</v>
      </c>
      <c r="O281" s="911">
        <v>40000</v>
      </c>
      <c r="P281" s="913" t="s">
        <v>724</v>
      </c>
      <c r="Q281" s="922">
        <v>1</v>
      </c>
      <c r="R281" s="913" t="s">
        <v>724</v>
      </c>
      <c r="S281" s="920">
        <v>12</v>
      </c>
      <c r="T281" s="916" t="s">
        <v>345</v>
      </c>
      <c r="U281" s="917">
        <f t="shared" si="20"/>
        <v>480000</v>
      </c>
      <c r="AE281" s="1054"/>
    </row>
    <row r="282" spans="1:31" ht="21.75" hidden="1" customHeight="1" x14ac:dyDescent="0.15">
      <c r="A282" s="569"/>
      <c r="B282" s="570"/>
      <c r="C282" s="570"/>
      <c r="D282" s="571"/>
      <c r="E282" s="572"/>
      <c r="F282" s="573"/>
      <c r="G282" s="942"/>
      <c r="H282" s="602"/>
      <c r="I282" s="574"/>
      <c r="J282" s="574"/>
      <c r="K282" s="955"/>
      <c r="L282" s="1217" t="s">
        <v>673</v>
      </c>
      <c r="M282" s="910"/>
      <c r="N282" s="910" t="s">
        <v>674</v>
      </c>
      <c r="O282" s="911">
        <v>40000</v>
      </c>
      <c r="P282" s="913" t="s">
        <v>724</v>
      </c>
      <c r="Q282" s="922">
        <v>1</v>
      </c>
      <c r="R282" s="913" t="s">
        <v>724</v>
      </c>
      <c r="S282" s="920">
        <v>12</v>
      </c>
      <c r="T282" s="916" t="s">
        <v>345</v>
      </c>
      <c r="U282" s="917">
        <f t="shared" si="20"/>
        <v>480000</v>
      </c>
      <c r="AE282" s="1054"/>
    </row>
    <row r="283" spans="1:31" ht="21.75" hidden="1" customHeight="1" x14ac:dyDescent="0.15">
      <c r="A283" s="569"/>
      <c r="B283" s="570"/>
      <c r="C283" s="570"/>
      <c r="D283" s="571"/>
      <c r="E283" s="572"/>
      <c r="F283" s="573"/>
      <c r="G283" s="942"/>
      <c r="H283" s="602"/>
      <c r="I283" s="574"/>
      <c r="J283" s="574"/>
      <c r="K283" s="955"/>
      <c r="L283" s="1217" t="s">
        <v>675</v>
      </c>
      <c r="M283" s="910" t="s">
        <v>660</v>
      </c>
      <c r="N283" s="910" t="s">
        <v>676</v>
      </c>
      <c r="O283" s="911">
        <v>40000</v>
      </c>
      <c r="P283" s="913" t="s">
        <v>724</v>
      </c>
      <c r="Q283" s="922">
        <v>1</v>
      </c>
      <c r="R283" s="913" t="s">
        <v>724</v>
      </c>
      <c r="S283" s="920">
        <v>12</v>
      </c>
      <c r="T283" s="916" t="s">
        <v>345</v>
      </c>
      <c r="U283" s="917">
        <f t="shared" si="20"/>
        <v>480000</v>
      </c>
      <c r="AE283" s="1054"/>
    </row>
    <row r="284" spans="1:31" ht="21.75" hidden="1" customHeight="1" x14ac:dyDescent="0.15">
      <c r="A284" s="569"/>
      <c r="B284" s="570"/>
      <c r="C284" s="570"/>
      <c r="D284" s="571"/>
      <c r="E284" s="572"/>
      <c r="F284" s="573"/>
      <c r="G284" s="942"/>
      <c r="H284" s="602"/>
      <c r="I284" s="574"/>
      <c r="J284" s="574"/>
      <c r="K284" s="955"/>
      <c r="L284" s="1217" t="s">
        <v>665</v>
      </c>
      <c r="M284" s="910" t="s">
        <v>663</v>
      </c>
      <c r="N284" s="910" t="s">
        <v>677</v>
      </c>
      <c r="O284" s="911">
        <v>60000</v>
      </c>
      <c r="P284" s="913" t="s">
        <v>724</v>
      </c>
      <c r="Q284" s="922">
        <v>1</v>
      </c>
      <c r="R284" s="913" t="s">
        <v>724</v>
      </c>
      <c r="S284" s="920">
        <v>12</v>
      </c>
      <c r="T284" s="916" t="s">
        <v>345</v>
      </c>
      <c r="U284" s="917">
        <f t="shared" si="20"/>
        <v>720000</v>
      </c>
      <c r="AE284" s="1054"/>
    </row>
    <row r="285" spans="1:31" ht="21.75" hidden="1" customHeight="1" x14ac:dyDescent="0.15">
      <c r="A285" s="569"/>
      <c r="B285" s="570"/>
      <c r="C285" s="570"/>
      <c r="D285" s="571"/>
      <c r="E285" s="572"/>
      <c r="F285" s="573"/>
      <c r="G285" s="942"/>
      <c r="H285" s="602"/>
      <c r="I285" s="574"/>
      <c r="J285" s="574"/>
      <c r="K285" s="955"/>
      <c r="L285" s="1217" t="s">
        <v>680</v>
      </c>
      <c r="M285" s="910"/>
      <c r="N285" s="910" t="s">
        <v>682</v>
      </c>
      <c r="O285" s="911">
        <v>100000</v>
      </c>
      <c r="P285" s="913" t="s">
        <v>724</v>
      </c>
      <c r="Q285" s="922">
        <v>1</v>
      </c>
      <c r="R285" s="913" t="s">
        <v>724</v>
      </c>
      <c r="S285" s="920">
        <v>12</v>
      </c>
      <c r="T285" s="916" t="s">
        <v>345</v>
      </c>
      <c r="U285" s="917">
        <f t="shared" si="20"/>
        <v>1200000</v>
      </c>
      <c r="AE285" s="1054"/>
    </row>
    <row r="286" spans="1:31" ht="21.75" hidden="1" customHeight="1" x14ac:dyDescent="0.15">
      <c r="A286" s="569"/>
      <c r="B286" s="570"/>
      <c r="C286" s="570"/>
      <c r="D286" s="571"/>
      <c r="E286" s="572"/>
      <c r="F286" s="573"/>
      <c r="G286" s="942"/>
      <c r="H286" s="602"/>
      <c r="I286" s="574"/>
      <c r="J286" s="574"/>
      <c r="K286" s="955"/>
      <c r="L286" s="1217" t="s">
        <v>680</v>
      </c>
      <c r="M286" s="910"/>
      <c r="N286" s="910" t="s">
        <v>683</v>
      </c>
      <c r="O286" s="911">
        <v>40000</v>
      </c>
      <c r="P286" s="913" t="s">
        <v>724</v>
      </c>
      <c r="Q286" s="922">
        <v>1</v>
      </c>
      <c r="R286" s="913" t="s">
        <v>724</v>
      </c>
      <c r="S286" s="920">
        <v>12</v>
      </c>
      <c r="T286" s="916" t="s">
        <v>345</v>
      </c>
      <c r="U286" s="917">
        <f t="shared" si="20"/>
        <v>480000</v>
      </c>
      <c r="AE286" s="1054"/>
    </row>
    <row r="287" spans="1:31" ht="21.75" hidden="1" customHeight="1" x14ac:dyDescent="0.15">
      <c r="A287" s="569"/>
      <c r="B287" s="570"/>
      <c r="C287" s="570"/>
      <c r="D287" s="571"/>
      <c r="E287" s="572"/>
      <c r="F287" s="573"/>
      <c r="G287" s="942"/>
      <c r="H287" s="602"/>
      <c r="I287" s="574"/>
      <c r="J287" s="574"/>
      <c r="K287" s="955"/>
      <c r="L287" s="1217" t="s">
        <v>680</v>
      </c>
      <c r="M287" s="910" t="s">
        <v>663</v>
      </c>
      <c r="N287" s="910" t="s">
        <v>921</v>
      </c>
      <c r="O287" s="911">
        <v>40000</v>
      </c>
      <c r="P287" s="913" t="s">
        <v>724</v>
      </c>
      <c r="Q287" s="922">
        <v>1</v>
      </c>
      <c r="R287" s="913" t="s">
        <v>724</v>
      </c>
      <c r="S287" s="920">
        <v>12</v>
      </c>
      <c r="T287" s="916" t="s">
        <v>345</v>
      </c>
      <c r="U287" s="917">
        <f t="shared" si="20"/>
        <v>480000</v>
      </c>
      <c r="AE287" s="1054"/>
    </row>
    <row r="288" spans="1:31" ht="21.75" hidden="1" customHeight="1" x14ac:dyDescent="0.15">
      <c r="A288" s="569"/>
      <c r="B288" s="570"/>
      <c r="C288" s="570"/>
      <c r="D288" s="571"/>
      <c r="E288" s="572"/>
      <c r="F288" s="573"/>
      <c r="G288" s="942"/>
      <c r="H288" s="602"/>
      <c r="I288" s="574"/>
      <c r="J288" s="574"/>
      <c r="K288" s="955"/>
      <c r="L288" s="1217" t="s">
        <v>680</v>
      </c>
      <c r="M288" s="910" t="s">
        <v>663</v>
      </c>
      <c r="N288" s="910" t="s">
        <v>686</v>
      </c>
      <c r="O288" s="911">
        <v>120000</v>
      </c>
      <c r="P288" s="913" t="s">
        <v>724</v>
      </c>
      <c r="Q288" s="922">
        <v>1</v>
      </c>
      <c r="R288" s="913" t="s">
        <v>724</v>
      </c>
      <c r="S288" s="920">
        <v>12</v>
      </c>
      <c r="T288" s="916" t="s">
        <v>345</v>
      </c>
      <c r="U288" s="917">
        <f t="shared" si="20"/>
        <v>1440000</v>
      </c>
      <c r="AE288" s="1054"/>
    </row>
    <row r="289" spans="1:31" ht="21.75" hidden="1" customHeight="1" x14ac:dyDescent="0.15">
      <c r="A289" s="569"/>
      <c r="B289" s="570"/>
      <c r="C289" s="570"/>
      <c r="D289" s="571"/>
      <c r="E289" s="572"/>
      <c r="F289" s="573"/>
      <c r="G289" s="942"/>
      <c r="H289" s="602"/>
      <c r="I289" s="574"/>
      <c r="J289" s="574"/>
      <c r="K289" s="955"/>
      <c r="L289" s="1217" t="s">
        <v>680</v>
      </c>
      <c r="M289" s="910" t="s">
        <v>663</v>
      </c>
      <c r="N289" s="910" t="s">
        <v>687</v>
      </c>
      <c r="O289" s="911">
        <v>40000</v>
      </c>
      <c r="P289" s="913" t="s">
        <v>724</v>
      </c>
      <c r="Q289" s="922">
        <v>1</v>
      </c>
      <c r="R289" s="913" t="s">
        <v>724</v>
      </c>
      <c r="S289" s="920">
        <v>12</v>
      </c>
      <c r="T289" s="916" t="s">
        <v>345</v>
      </c>
      <c r="U289" s="917">
        <f t="shared" si="20"/>
        <v>480000</v>
      </c>
      <c r="AE289" s="1054"/>
    </row>
    <row r="290" spans="1:31" ht="21.75" hidden="1" customHeight="1" x14ac:dyDescent="0.15">
      <c r="A290" s="569"/>
      <c r="B290" s="570"/>
      <c r="C290" s="570"/>
      <c r="D290" s="571"/>
      <c r="E290" s="572"/>
      <c r="F290" s="573"/>
      <c r="G290" s="942"/>
      <c r="H290" s="602"/>
      <c r="I290" s="574"/>
      <c r="J290" s="574"/>
      <c r="K290" s="955"/>
      <c r="L290" s="1217" t="s">
        <v>680</v>
      </c>
      <c r="M290" s="910"/>
      <c r="N290" s="910" t="s">
        <v>689</v>
      </c>
      <c r="O290" s="911">
        <v>60000</v>
      </c>
      <c r="P290" s="913" t="s">
        <v>724</v>
      </c>
      <c r="Q290" s="922">
        <v>1</v>
      </c>
      <c r="R290" s="913" t="s">
        <v>724</v>
      </c>
      <c r="S290" s="920">
        <v>12</v>
      </c>
      <c r="T290" s="916" t="s">
        <v>345</v>
      </c>
      <c r="U290" s="917">
        <f t="shared" si="20"/>
        <v>720000</v>
      </c>
      <c r="AE290" s="1054"/>
    </row>
    <row r="291" spans="1:31" ht="21.75" hidden="1" customHeight="1" x14ac:dyDescent="0.15">
      <c r="A291" s="569"/>
      <c r="B291" s="570"/>
      <c r="C291" s="570"/>
      <c r="D291" s="571"/>
      <c r="E291" s="572"/>
      <c r="F291" s="573"/>
      <c r="G291" s="942"/>
      <c r="H291" s="602"/>
      <c r="I291" s="574"/>
      <c r="J291" s="574"/>
      <c r="K291" s="955"/>
      <c r="L291" s="1217" t="s">
        <v>680</v>
      </c>
      <c r="M291" s="910"/>
      <c r="N291" s="910" t="s">
        <v>690</v>
      </c>
      <c r="O291" s="911">
        <v>60000</v>
      </c>
      <c r="P291" s="913" t="s">
        <v>724</v>
      </c>
      <c r="Q291" s="922">
        <v>1</v>
      </c>
      <c r="R291" s="913" t="s">
        <v>724</v>
      </c>
      <c r="S291" s="920">
        <v>12</v>
      </c>
      <c r="T291" s="916" t="s">
        <v>345</v>
      </c>
      <c r="U291" s="917">
        <f t="shared" si="20"/>
        <v>720000</v>
      </c>
      <c r="AE291" s="1054"/>
    </row>
    <row r="292" spans="1:31" ht="21.75" hidden="1" customHeight="1" x14ac:dyDescent="0.15">
      <c r="A292" s="569"/>
      <c r="B292" s="570"/>
      <c r="C292" s="570"/>
      <c r="D292" s="571"/>
      <c r="E292" s="572"/>
      <c r="F292" s="573"/>
      <c r="G292" s="942"/>
      <c r="H292" s="602"/>
      <c r="I292" s="574"/>
      <c r="J292" s="574"/>
      <c r="K292" s="955"/>
      <c r="L292" s="1217" t="s">
        <v>680</v>
      </c>
      <c r="M292" s="910"/>
      <c r="N292" s="910" t="s">
        <v>691</v>
      </c>
      <c r="O292" s="911">
        <v>120000</v>
      </c>
      <c r="P292" s="913" t="s">
        <v>724</v>
      </c>
      <c r="Q292" s="922">
        <v>1</v>
      </c>
      <c r="R292" s="913" t="s">
        <v>724</v>
      </c>
      <c r="S292" s="920">
        <v>12</v>
      </c>
      <c r="T292" s="916" t="s">
        <v>345</v>
      </c>
      <c r="U292" s="917">
        <f t="shared" si="20"/>
        <v>1440000</v>
      </c>
      <c r="AE292" s="1054"/>
    </row>
    <row r="293" spans="1:31" ht="21.75" hidden="1" customHeight="1" x14ac:dyDescent="0.15">
      <c r="A293" s="569"/>
      <c r="B293" s="570"/>
      <c r="C293" s="570"/>
      <c r="D293" s="571"/>
      <c r="E293" s="572"/>
      <c r="F293" s="573"/>
      <c r="G293" s="942"/>
      <c r="H293" s="602"/>
      <c r="I293" s="574"/>
      <c r="J293" s="574"/>
      <c r="K293" s="955"/>
      <c r="L293" s="1217" t="s">
        <v>680</v>
      </c>
      <c r="M293" s="910"/>
      <c r="N293" s="910" t="s">
        <v>695</v>
      </c>
      <c r="O293" s="911">
        <v>40000</v>
      </c>
      <c r="P293" s="913" t="s">
        <v>724</v>
      </c>
      <c r="Q293" s="922">
        <v>1</v>
      </c>
      <c r="R293" s="913" t="s">
        <v>724</v>
      </c>
      <c r="S293" s="920">
        <v>12</v>
      </c>
      <c r="T293" s="916" t="s">
        <v>345</v>
      </c>
      <c r="U293" s="917">
        <f t="shared" si="20"/>
        <v>480000</v>
      </c>
      <c r="AE293" s="1054"/>
    </row>
    <row r="294" spans="1:31" ht="21.75" hidden="1" customHeight="1" x14ac:dyDescent="0.15">
      <c r="A294" s="569"/>
      <c r="B294" s="570"/>
      <c r="C294" s="570"/>
      <c r="D294" s="571"/>
      <c r="E294" s="572"/>
      <c r="F294" s="573"/>
      <c r="G294" s="942"/>
      <c r="H294" s="602"/>
      <c r="I294" s="574"/>
      <c r="J294" s="574"/>
      <c r="K294" s="955"/>
      <c r="L294" s="1217" t="s">
        <v>680</v>
      </c>
      <c r="M294" s="910"/>
      <c r="N294" s="910" t="s">
        <v>1252</v>
      </c>
      <c r="O294" s="911">
        <v>40000</v>
      </c>
      <c r="P294" s="913" t="s">
        <v>724</v>
      </c>
      <c r="Q294" s="922">
        <v>1</v>
      </c>
      <c r="R294" s="913" t="s">
        <v>724</v>
      </c>
      <c r="S294" s="920">
        <v>12</v>
      </c>
      <c r="T294" s="916" t="s">
        <v>345</v>
      </c>
      <c r="U294" s="917">
        <f t="shared" si="20"/>
        <v>480000</v>
      </c>
      <c r="AE294" s="1054"/>
    </row>
    <row r="295" spans="1:31" ht="21.75" hidden="1" customHeight="1" x14ac:dyDescent="0.15">
      <c r="A295" s="569"/>
      <c r="B295" s="570"/>
      <c r="C295" s="570"/>
      <c r="D295" s="571"/>
      <c r="E295" s="572"/>
      <c r="F295" s="573"/>
      <c r="G295" s="942"/>
      <c r="H295" s="602"/>
      <c r="I295" s="574"/>
      <c r="J295" s="574"/>
      <c r="K295" s="955"/>
      <c r="L295" s="1217" t="s">
        <v>680</v>
      </c>
      <c r="M295" s="910"/>
      <c r="N295" s="910" t="s">
        <v>1253</v>
      </c>
      <c r="O295" s="911">
        <v>20000</v>
      </c>
      <c r="P295" s="913" t="s">
        <v>724</v>
      </c>
      <c r="Q295" s="922">
        <v>1</v>
      </c>
      <c r="R295" s="913" t="s">
        <v>724</v>
      </c>
      <c r="S295" s="920">
        <v>12</v>
      </c>
      <c r="T295" s="916" t="s">
        <v>345</v>
      </c>
      <c r="U295" s="917">
        <f t="shared" si="20"/>
        <v>240000</v>
      </c>
      <c r="AE295" s="1054"/>
    </row>
    <row r="296" spans="1:31" ht="21.75" hidden="1" customHeight="1" x14ac:dyDescent="0.15">
      <c r="A296" s="569"/>
      <c r="B296" s="570"/>
      <c r="C296" s="570"/>
      <c r="D296" s="571"/>
      <c r="E296" s="572"/>
      <c r="F296" s="573"/>
      <c r="G296" s="942"/>
      <c r="H296" s="602"/>
      <c r="I296" s="574"/>
      <c r="J296" s="574"/>
      <c r="K296" s="955"/>
      <c r="L296" s="1217" t="s">
        <v>680</v>
      </c>
      <c r="M296" s="910"/>
      <c r="N296" s="910" t="s">
        <v>699</v>
      </c>
      <c r="O296" s="911">
        <v>40000</v>
      </c>
      <c r="P296" s="913" t="s">
        <v>724</v>
      </c>
      <c r="Q296" s="922">
        <v>1</v>
      </c>
      <c r="R296" s="913" t="s">
        <v>724</v>
      </c>
      <c r="S296" s="920">
        <v>12</v>
      </c>
      <c r="T296" s="916" t="s">
        <v>345</v>
      </c>
      <c r="U296" s="917">
        <f t="shared" si="20"/>
        <v>480000</v>
      </c>
      <c r="AE296" s="1054"/>
    </row>
    <row r="297" spans="1:31" ht="21.75" hidden="1" customHeight="1" x14ac:dyDescent="0.15">
      <c r="A297" s="569"/>
      <c r="B297" s="570"/>
      <c r="C297" s="570"/>
      <c r="D297" s="571"/>
      <c r="E297" s="572"/>
      <c r="F297" s="573"/>
      <c r="G297" s="942"/>
      <c r="H297" s="602"/>
      <c r="I297" s="574"/>
      <c r="J297" s="574"/>
      <c r="K297" s="955"/>
      <c r="L297" s="1217" t="s">
        <v>680</v>
      </c>
      <c r="M297" s="910"/>
      <c r="N297" s="910" t="s">
        <v>982</v>
      </c>
      <c r="O297" s="911">
        <v>60000</v>
      </c>
      <c r="P297" s="913" t="s">
        <v>724</v>
      </c>
      <c r="Q297" s="922">
        <v>1</v>
      </c>
      <c r="R297" s="913" t="s">
        <v>724</v>
      </c>
      <c r="S297" s="920">
        <v>12</v>
      </c>
      <c r="T297" s="916" t="s">
        <v>345</v>
      </c>
      <c r="U297" s="917">
        <f t="shared" si="20"/>
        <v>720000</v>
      </c>
      <c r="AE297" s="1054"/>
    </row>
    <row r="298" spans="1:31" ht="21.75" hidden="1" customHeight="1" x14ac:dyDescent="0.15">
      <c r="A298" s="569"/>
      <c r="B298" s="570"/>
      <c r="C298" s="570"/>
      <c r="D298" s="571"/>
      <c r="E298" s="572"/>
      <c r="F298" s="573"/>
      <c r="G298" s="942"/>
      <c r="H298" s="602"/>
      <c r="I298" s="574"/>
      <c r="J298" s="574"/>
      <c r="K298" s="955"/>
      <c r="L298" s="1217" t="s">
        <v>680</v>
      </c>
      <c r="M298" s="910"/>
      <c r="N298" s="910" t="s">
        <v>1254</v>
      </c>
      <c r="O298" s="911">
        <v>20000</v>
      </c>
      <c r="P298" s="913" t="s">
        <v>724</v>
      </c>
      <c r="Q298" s="922">
        <v>1</v>
      </c>
      <c r="R298" s="913" t="s">
        <v>724</v>
      </c>
      <c r="S298" s="920">
        <v>12</v>
      </c>
      <c r="T298" s="916" t="s">
        <v>345</v>
      </c>
      <c r="U298" s="917">
        <f>O298*Q298*S298</f>
        <v>240000</v>
      </c>
      <c r="AE298" s="1054"/>
    </row>
    <row r="299" spans="1:31" ht="21.75" hidden="1" customHeight="1" x14ac:dyDescent="0.15">
      <c r="A299" s="569"/>
      <c r="B299" s="570"/>
      <c r="C299" s="570"/>
      <c r="D299" s="571"/>
      <c r="E299" s="572"/>
      <c r="F299" s="573"/>
      <c r="G299" s="942"/>
      <c r="H299" s="602"/>
      <c r="I299" s="574"/>
      <c r="J299" s="574"/>
      <c r="K299" s="955"/>
      <c r="L299" s="1217" t="s">
        <v>680</v>
      </c>
      <c r="M299" s="910"/>
      <c r="N299" s="910" t="s">
        <v>705</v>
      </c>
      <c r="O299" s="911">
        <v>40000</v>
      </c>
      <c r="P299" s="913" t="s">
        <v>724</v>
      </c>
      <c r="Q299" s="922">
        <v>1</v>
      </c>
      <c r="R299" s="913" t="s">
        <v>724</v>
      </c>
      <c r="S299" s="920">
        <v>12</v>
      </c>
      <c r="T299" s="916" t="s">
        <v>345</v>
      </c>
      <c r="U299" s="917">
        <f t="shared" si="20"/>
        <v>480000</v>
      </c>
      <c r="AE299" s="1054"/>
    </row>
    <row r="300" spans="1:31" ht="21.75" hidden="1" customHeight="1" x14ac:dyDescent="0.15">
      <c r="A300" s="569"/>
      <c r="B300" s="570"/>
      <c r="C300" s="570"/>
      <c r="D300" s="571"/>
      <c r="E300" s="572"/>
      <c r="F300" s="573"/>
      <c r="G300" s="942"/>
      <c r="H300" s="602"/>
      <c r="I300" s="574"/>
      <c r="J300" s="574"/>
      <c r="K300" s="955"/>
      <c r="L300" s="1217" t="s">
        <v>680</v>
      </c>
      <c r="M300" s="910"/>
      <c r="N300" s="910" t="s">
        <v>1255</v>
      </c>
      <c r="O300" s="911">
        <v>60000</v>
      </c>
      <c r="P300" s="913" t="s">
        <v>724</v>
      </c>
      <c r="Q300" s="922">
        <v>1</v>
      </c>
      <c r="R300" s="913" t="s">
        <v>724</v>
      </c>
      <c r="S300" s="920">
        <v>12</v>
      </c>
      <c r="T300" s="916" t="s">
        <v>345</v>
      </c>
      <c r="U300" s="917">
        <f t="shared" si="20"/>
        <v>720000</v>
      </c>
      <c r="AE300" s="1054"/>
    </row>
    <row r="301" spans="1:31" ht="21.75" hidden="1" customHeight="1" x14ac:dyDescent="0.15">
      <c r="A301" s="569"/>
      <c r="B301" s="570"/>
      <c r="C301" s="570"/>
      <c r="D301" s="571"/>
      <c r="E301" s="572"/>
      <c r="F301" s="573"/>
      <c r="G301" s="942"/>
      <c r="H301" s="602"/>
      <c r="I301" s="574"/>
      <c r="J301" s="574"/>
      <c r="K301" s="955"/>
      <c r="L301" s="1217" t="s">
        <v>680</v>
      </c>
      <c r="M301" s="910"/>
      <c r="N301" s="910" t="s">
        <v>1256</v>
      </c>
      <c r="O301" s="911">
        <v>40000</v>
      </c>
      <c r="P301" s="913" t="s">
        <v>724</v>
      </c>
      <c r="Q301" s="922">
        <v>1</v>
      </c>
      <c r="R301" s="913" t="s">
        <v>724</v>
      </c>
      <c r="S301" s="920">
        <v>12</v>
      </c>
      <c r="T301" s="916" t="s">
        <v>345</v>
      </c>
      <c r="U301" s="917">
        <f t="shared" si="20"/>
        <v>480000</v>
      </c>
      <c r="AE301" s="1054"/>
    </row>
    <row r="302" spans="1:31" ht="21.75" hidden="1" customHeight="1" x14ac:dyDescent="0.15">
      <c r="A302" s="569"/>
      <c r="B302" s="570"/>
      <c r="C302" s="570"/>
      <c r="D302" s="571"/>
      <c r="E302" s="572"/>
      <c r="F302" s="573"/>
      <c r="G302" s="942"/>
      <c r="H302" s="602"/>
      <c r="I302" s="574"/>
      <c r="J302" s="574"/>
      <c r="K302" s="955"/>
      <c r="L302" s="1217" t="s">
        <v>680</v>
      </c>
      <c r="M302" s="910"/>
      <c r="N302" s="910" t="s">
        <v>1257</v>
      </c>
      <c r="O302" s="911">
        <v>20000</v>
      </c>
      <c r="P302" s="913" t="s">
        <v>724</v>
      </c>
      <c r="Q302" s="922">
        <v>1</v>
      </c>
      <c r="R302" s="913" t="s">
        <v>724</v>
      </c>
      <c r="S302" s="920">
        <v>12</v>
      </c>
      <c r="T302" s="916" t="s">
        <v>345</v>
      </c>
      <c r="U302" s="917">
        <f t="shared" ref="U302:U316" si="21">O302*Q302*S302</f>
        <v>240000</v>
      </c>
      <c r="AE302" s="1054"/>
    </row>
    <row r="303" spans="1:31" ht="21.75" hidden="1" customHeight="1" x14ac:dyDescent="0.15">
      <c r="A303" s="569"/>
      <c r="B303" s="570"/>
      <c r="C303" s="570"/>
      <c r="D303" s="571"/>
      <c r="E303" s="572"/>
      <c r="F303" s="573"/>
      <c r="G303" s="942"/>
      <c r="H303" s="602"/>
      <c r="I303" s="574"/>
      <c r="J303" s="574"/>
      <c r="K303" s="955"/>
      <c r="L303" s="1217" t="s">
        <v>680</v>
      </c>
      <c r="M303" s="910"/>
      <c r="N303" s="910" t="s">
        <v>1258</v>
      </c>
      <c r="O303" s="911">
        <v>40000</v>
      </c>
      <c r="P303" s="913" t="s">
        <v>724</v>
      </c>
      <c r="Q303" s="922">
        <v>1</v>
      </c>
      <c r="R303" s="913" t="s">
        <v>724</v>
      </c>
      <c r="S303" s="920">
        <v>12</v>
      </c>
      <c r="T303" s="916" t="s">
        <v>345</v>
      </c>
      <c r="U303" s="917">
        <f t="shared" si="21"/>
        <v>480000</v>
      </c>
      <c r="AE303" s="1054"/>
    </row>
    <row r="304" spans="1:31" ht="21.75" hidden="1" customHeight="1" x14ac:dyDescent="0.15">
      <c r="A304" s="569"/>
      <c r="B304" s="570"/>
      <c r="C304" s="570"/>
      <c r="D304" s="571"/>
      <c r="E304" s="572"/>
      <c r="F304" s="573"/>
      <c r="G304" s="942"/>
      <c r="H304" s="602"/>
      <c r="I304" s="574"/>
      <c r="J304" s="574"/>
      <c r="K304" s="955"/>
      <c r="L304" s="1217" t="s">
        <v>680</v>
      </c>
      <c r="M304" s="910"/>
      <c r="N304" s="910" t="s">
        <v>1112</v>
      </c>
      <c r="O304" s="911">
        <v>40000</v>
      </c>
      <c r="P304" s="913" t="s">
        <v>724</v>
      </c>
      <c r="Q304" s="922">
        <v>1</v>
      </c>
      <c r="R304" s="913" t="s">
        <v>724</v>
      </c>
      <c r="S304" s="920">
        <v>12</v>
      </c>
      <c r="T304" s="916" t="s">
        <v>345</v>
      </c>
      <c r="U304" s="917">
        <f t="shared" ref="U304" si="22">O304*Q304*S304</f>
        <v>480000</v>
      </c>
      <c r="AE304" s="1054"/>
    </row>
    <row r="305" spans="1:31" ht="21.75" hidden="1" customHeight="1" x14ac:dyDescent="0.15">
      <c r="A305" s="569"/>
      <c r="B305" s="570"/>
      <c r="C305" s="570"/>
      <c r="D305" s="571"/>
      <c r="E305" s="572"/>
      <c r="F305" s="573"/>
      <c r="G305" s="942"/>
      <c r="H305" s="602"/>
      <c r="I305" s="574"/>
      <c r="J305" s="574"/>
      <c r="K305" s="955"/>
      <c r="L305" s="1217" t="s">
        <v>680</v>
      </c>
      <c r="M305" s="910"/>
      <c r="N305" s="910" t="s">
        <v>1259</v>
      </c>
      <c r="O305" s="911">
        <v>40000</v>
      </c>
      <c r="P305" s="913" t="s">
        <v>724</v>
      </c>
      <c r="Q305" s="922">
        <v>1</v>
      </c>
      <c r="R305" s="913" t="s">
        <v>724</v>
      </c>
      <c r="S305" s="920">
        <v>12</v>
      </c>
      <c r="T305" s="916" t="s">
        <v>345</v>
      </c>
      <c r="U305" s="917">
        <f>O305*Q305*S305</f>
        <v>480000</v>
      </c>
      <c r="AE305" s="1054"/>
    </row>
    <row r="306" spans="1:31" ht="21.75" hidden="1" customHeight="1" x14ac:dyDescent="0.15">
      <c r="A306" s="569"/>
      <c r="B306" s="570"/>
      <c r="C306" s="570"/>
      <c r="D306" s="571"/>
      <c r="E306" s="572"/>
      <c r="F306" s="573"/>
      <c r="G306" s="942"/>
      <c r="H306" s="602"/>
      <c r="I306" s="574"/>
      <c r="J306" s="574"/>
      <c r="K306" s="955"/>
      <c r="L306" s="1217" t="s">
        <v>706</v>
      </c>
      <c r="M306" s="910"/>
      <c r="N306" s="910" t="s">
        <v>707</v>
      </c>
      <c r="O306" s="911">
        <v>40000</v>
      </c>
      <c r="P306" s="913" t="s">
        <v>724</v>
      </c>
      <c r="Q306" s="922">
        <v>1</v>
      </c>
      <c r="R306" s="913" t="s">
        <v>724</v>
      </c>
      <c r="S306" s="920">
        <v>12</v>
      </c>
      <c r="T306" s="916" t="s">
        <v>345</v>
      </c>
      <c r="U306" s="917">
        <f t="shared" si="21"/>
        <v>480000</v>
      </c>
      <c r="AE306" s="1054"/>
    </row>
    <row r="307" spans="1:31" ht="21.75" hidden="1" customHeight="1" x14ac:dyDescent="0.15">
      <c r="A307" s="569"/>
      <c r="B307" s="570"/>
      <c r="C307" s="570"/>
      <c r="D307" s="571"/>
      <c r="E307" s="572"/>
      <c r="F307" s="573"/>
      <c r="G307" s="942"/>
      <c r="H307" s="602"/>
      <c r="I307" s="574"/>
      <c r="J307" s="574"/>
      <c r="K307" s="955"/>
      <c r="L307" s="1217" t="s">
        <v>708</v>
      </c>
      <c r="M307" s="910"/>
      <c r="N307" s="910" t="s">
        <v>710</v>
      </c>
      <c r="O307" s="911">
        <v>40000</v>
      </c>
      <c r="P307" s="913" t="s">
        <v>724</v>
      </c>
      <c r="Q307" s="922">
        <v>1</v>
      </c>
      <c r="R307" s="913" t="s">
        <v>724</v>
      </c>
      <c r="S307" s="920">
        <v>12</v>
      </c>
      <c r="T307" s="916" t="s">
        <v>345</v>
      </c>
      <c r="U307" s="917">
        <f t="shared" si="21"/>
        <v>480000</v>
      </c>
      <c r="V307" s="544">
        <f>SUM(U275:U307)</f>
        <v>21360000</v>
      </c>
      <c r="W307" s="544">
        <f>V307-'사. 임직원보수 일람표'!K103</f>
        <v>0</v>
      </c>
      <c r="AE307" s="1054"/>
    </row>
    <row r="308" spans="1:31" ht="21.75" hidden="1" customHeight="1" x14ac:dyDescent="0.15">
      <c r="A308" s="569"/>
      <c r="B308" s="570"/>
      <c r="C308" s="570"/>
      <c r="D308" s="571"/>
      <c r="E308" s="572"/>
      <c r="F308" s="573"/>
      <c r="G308" s="942"/>
      <c r="H308" s="602"/>
      <c r="I308" s="574"/>
      <c r="J308" s="574"/>
      <c r="K308" s="955"/>
      <c r="L308" s="1217" t="s">
        <v>708</v>
      </c>
      <c r="M308" s="912" t="s">
        <v>725</v>
      </c>
      <c r="N308" s="910" t="s">
        <v>714</v>
      </c>
      <c r="O308" s="911">
        <v>40000</v>
      </c>
      <c r="P308" s="913" t="s">
        <v>724</v>
      </c>
      <c r="Q308" s="922">
        <v>1</v>
      </c>
      <c r="R308" s="913" t="s">
        <v>724</v>
      </c>
      <c r="S308" s="920">
        <v>12</v>
      </c>
      <c r="T308" s="916" t="s">
        <v>345</v>
      </c>
      <c r="U308" s="917">
        <f t="shared" si="21"/>
        <v>480000</v>
      </c>
      <c r="AE308" s="1054"/>
    </row>
    <row r="309" spans="1:31" ht="21.75" hidden="1" customHeight="1" x14ac:dyDescent="0.15">
      <c r="A309" s="569"/>
      <c r="B309" s="570"/>
      <c r="C309" s="570"/>
      <c r="D309" s="571"/>
      <c r="E309" s="572"/>
      <c r="F309" s="573"/>
      <c r="G309" s="942"/>
      <c r="H309" s="602"/>
      <c r="I309" s="574"/>
      <c r="J309" s="574"/>
      <c r="K309" s="955"/>
      <c r="L309" s="1217" t="s">
        <v>715</v>
      </c>
      <c r="M309" s="912" t="s">
        <v>725</v>
      </c>
      <c r="N309" s="910" t="s">
        <v>1120</v>
      </c>
      <c r="O309" s="911">
        <v>80000</v>
      </c>
      <c r="P309" s="913" t="s">
        <v>724</v>
      </c>
      <c r="Q309" s="922">
        <v>1</v>
      </c>
      <c r="R309" s="913" t="s">
        <v>724</v>
      </c>
      <c r="S309" s="920">
        <v>12</v>
      </c>
      <c r="T309" s="916" t="s">
        <v>345</v>
      </c>
      <c r="U309" s="917">
        <f t="shared" si="21"/>
        <v>960000</v>
      </c>
      <c r="V309" s="544">
        <f>SUM(U308:U309)</f>
        <v>1440000</v>
      </c>
      <c r="W309" s="544">
        <f>V309-'사. 임직원보수 일람표'!K116</f>
        <v>0</v>
      </c>
      <c r="AE309" s="1054"/>
    </row>
    <row r="310" spans="1:31" ht="21.75" hidden="1" customHeight="1" x14ac:dyDescent="0.15">
      <c r="A310" s="569"/>
      <c r="B310" s="570"/>
      <c r="C310" s="570"/>
      <c r="D310" s="571"/>
      <c r="E310" s="572"/>
      <c r="F310" s="573"/>
      <c r="G310" s="942"/>
      <c r="H310" s="602"/>
      <c r="I310" s="574"/>
      <c r="J310" s="574"/>
      <c r="K310" s="955"/>
      <c r="L310" s="1217" t="s">
        <v>680</v>
      </c>
      <c r="M310" s="912" t="s">
        <v>726</v>
      </c>
      <c r="N310" s="910" t="s">
        <v>1121</v>
      </c>
      <c r="O310" s="911">
        <v>40000</v>
      </c>
      <c r="P310" s="913" t="s">
        <v>724</v>
      </c>
      <c r="Q310" s="922">
        <v>1</v>
      </c>
      <c r="R310" s="913" t="s">
        <v>724</v>
      </c>
      <c r="S310" s="920">
        <v>12</v>
      </c>
      <c r="T310" s="916" t="s">
        <v>345</v>
      </c>
      <c r="U310" s="917">
        <f t="shared" si="21"/>
        <v>480000</v>
      </c>
      <c r="AE310" s="1054"/>
    </row>
    <row r="311" spans="1:31" ht="21.75" hidden="1" customHeight="1" x14ac:dyDescent="0.15">
      <c r="A311" s="569"/>
      <c r="B311" s="570"/>
      <c r="C311" s="570"/>
      <c r="D311" s="571"/>
      <c r="E311" s="572"/>
      <c r="F311" s="573"/>
      <c r="G311" s="942"/>
      <c r="H311" s="602"/>
      <c r="I311" s="574"/>
      <c r="J311" s="574"/>
      <c r="K311" s="955"/>
      <c r="L311" s="1217" t="s">
        <v>680</v>
      </c>
      <c r="M311" s="912" t="s">
        <v>726</v>
      </c>
      <c r="N311" s="910" t="s">
        <v>1260</v>
      </c>
      <c r="O311" s="911">
        <v>20000</v>
      </c>
      <c r="P311" s="913" t="s">
        <v>724</v>
      </c>
      <c r="Q311" s="922">
        <v>1</v>
      </c>
      <c r="R311" s="913" t="s">
        <v>724</v>
      </c>
      <c r="S311" s="920">
        <v>12</v>
      </c>
      <c r="T311" s="916" t="s">
        <v>345</v>
      </c>
      <c r="U311" s="917">
        <f t="shared" si="21"/>
        <v>240000</v>
      </c>
      <c r="AE311" s="1054"/>
    </row>
    <row r="312" spans="1:31" ht="21.75" hidden="1" customHeight="1" x14ac:dyDescent="0.15">
      <c r="A312" s="569"/>
      <c r="B312" s="570"/>
      <c r="C312" s="570"/>
      <c r="D312" s="571"/>
      <c r="E312" s="572"/>
      <c r="F312" s="573"/>
      <c r="G312" s="942"/>
      <c r="H312" s="602"/>
      <c r="I312" s="574"/>
      <c r="J312" s="574"/>
      <c r="K312" s="955"/>
      <c r="L312" s="1217" t="s">
        <v>680</v>
      </c>
      <c r="M312" s="912" t="s">
        <v>726</v>
      </c>
      <c r="N312" s="910" t="s">
        <v>1261</v>
      </c>
      <c r="O312" s="911">
        <v>40000</v>
      </c>
      <c r="P312" s="913" t="s">
        <v>724</v>
      </c>
      <c r="Q312" s="922">
        <v>1</v>
      </c>
      <c r="R312" s="913" t="s">
        <v>724</v>
      </c>
      <c r="S312" s="920">
        <v>12</v>
      </c>
      <c r="T312" s="916" t="s">
        <v>345</v>
      </c>
      <c r="U312" s="917">
        <f t="shared" si="21"/>
        <v>480000</v>
      </c>
      <c r="AE312" s="1054"/>
    </row>
    <row r="313" spans="1:31" ht="21.75" hidden="1" customHeight="1" x14ac:dyDescent="0.15">
      <c r="A313" s="569"/>
      <c r="B313" s="570"/>
      <c r="C313" s="570"/>
      <c r="D313" s="571"/>
      <c r="E313" s="572"/>
      <c r="F313" s="573"/>
      <c r="G313" s="942"/>
      <c r="H313" s="602"/>
      <c r="I313" s="574"/>
      <c r="J313" s="574"/>
      <c r="K313" s="955"/>
      <c r="L313" s="1217" t="s">
        <v>680</v>
      </c>
      <c r="M313" s="912" t="s">
        <v>726</v>
      </c>
      <c r="N313" s="910" t="s">
        <v>1262</v>
      </c>
      <c r="O313" s="911">
        <v>40000</v>
      </c>
      <c r="P313" s="913" t="s">
        <v>724</v>
      </c>
      <c r="Q313" s="922">
        <v>1</v>
      </c>
      <c r="R313" s="913" t="s">
        <v>724</v>
      </c>
      <c r="S313" s="920">
        <v>12</v>
      </c>
      <c r="T313" s="916" t="s">
        <v>345</v>
      </c>
      <c r="U313" s="917">
        <f t="shared" si="21"/>
        <v>480000</v>
      </c>
      <c r="AE313" s="1054"/>
    </row>
    <row r="314" spans="1:31" ht="21.75" hidden="1" customHeight="1" x14ac:dyDescent="0.15">
      <c r="A314" s="569"/>
      <c r="B314" s="570"/>
      <c r="C314" s="570"/>
      <c r="D314" s="571"/>
      <c r="E314" s="572"/>
      <c r="F314" s="573"/>
      <c r="G314" s="942"/>
      <c r="H314" s="602"/>
      <c r="I314" s="574"/>
      <c r="J314" s="574"/>
      <c r="K314" s="955"/>
      <c r="L314" s="1217" t="s">
        <v>680</v>
      </c>
      <c r="M314" s="912" t="s">
        <v>726</v>
      </c>
      <c r="N314" s="910"/>
      <c r="O314" s="911"/>
      <c r="P314" s="913" t="s">
        <v>724</v>
      </c>
      <c r="Q314" s="922">
        <v>1</v>
      </c>
      <c r="R314" s="913" t="s">
        <v>724</v>
      </c>
      <c r="S314" s="920">
        <v>12</v>
      </c>
      <c r="T314" s="916" t="s">
        <v>345</v>
      </c>
      <c r="U314" s="917">
        <f t="shared" si="21"/>
        <v>0</v>
      </c>
      <c r="V314" s="545"/>
      <c r="AE314" s="1054"/>
    </row>
    <row r="315" spans="1:31" ht="21.75" hidden="1" customHeight="1" x14ac:dyDescent="0.15">
      <c r="A315" s="569"/>
      <c r="B315" s="570"/>
      <c r="C315" s="570"/>
      <c r="D315" s="571"/>
      <c r="E315" s="572"/>
      <c r="F315" s="573"/>
      <c r="G315" s="942"/>
      <c r="H315" s="602"/>
      <c r="I315" s="574"/>
      <c r="J315" s="574"/>
      <c r="K315" s="955"/>
      <c r="L315" s="1217" t="s">
        <v>680</v>
      </c>
      <c r="M315" s="912" t="s">
        <v>726</v>
      </c>
      <c r="N315" s="910"/>
      <c r="O315" s="911"/>
      <c r="P315" s="913" t="s">
        <v>724</v>
      </c>
      <c r="Q315" s="922">
        <v>1</v>
      </c>
      <c r="R315" s="913" t="s">
        <v>724</v>
      </c>
      <c r="S315" s="920">
        <v>12</v>
      </c>
      <c r="T315" s="916" t="s">
        <v>345</v>
      </c>
      <c r="U315" s="917">
        <f>O315*Q315*S315</f>
        <v>0</v>
      </c>
      <c r="V315" s="544">
        <f>SUM(U310:U315)</f>
        <v>1680000</v>
      </c>
      <c r="W315" s="544">
        <f>V315-'사. 임직원보수 일람표'!K149</f>
        <v>0</v>
      </c>
      <c r="AE315" s="1054"/>
    </row>
    <row r="316" spans="1:31" ht="21.75" hidden="1" customHeight="1" x14ac:dyDescent="0.15">
      <c r="A316" s="569"/>
      <c r="B316" s="570"/>
      <c r="C316" s="570"/>
      <c r="D316" s="571"/>
      <c r="E316" s="572"/>
      <c r="F316" s="573"/>
      <c r="G316" s="942"/>
      <c r="H316" s="602"/>
      <c r="I316" s="574"/>
      <c r="J316" s="574"/>
      <c r="K316" s="955"/>
      <c r="L316" s="1217" t="s">
        <v>917</v>
      </c>
      <c r="M316" s="912" t="s">
        <v>922</v>
      </c>
      <c r="N316" s="910" t="s">
        <v>923</v>
      </c>
      <c r="O316" s="911">
        <v>40000</v>
      </c>
      <c r="P316" s="913" t="s">
        <v>724</v>
      </c>
      <c r="Q316" s="922">
        <v>1</v>
      </c>
      <c r="R316" s="913" t="s">
        <v>724</v>
      </c>
      <c r="S316" s="920">
        <v>12</v>
      </c>
      <c r="T316" s="916" t="s">
        <v>345</v>
      </c>
      <c r="U316" s="917">
        <f t="shared" si="21"/>
        <v>480000</v>
      </c>
      <c r="AE316" s="1054"/>
    </row>
    <row r="317" spans="1:31" ht="21.75" hidden="1" customHeight="1" x14ac:dyDescent="0.15">
      <c r="A317" s="569"/>
      <c r="B317" s="570"/>
      <c r="C317" s="570"/>
      <c r="D317" s="571"/>
      <c r="E317" s="572"/>
      <c r="F317" s="573"/>
      <c r="G317" s="942"/>
      <c r="H317" s="602"/>
      <c r="I317" s="574"/>
      <c r="J317" s="574"/>
      <c r="K317" s="955"/>
      <c r="L317" s="1217"/>
      <c r="M317" s="912"/>
      <c r="N317" s="910"/>
      <c r="O317" s="911"/>
      <c r="P317" s="913"/>
      <c r="Q317" s="922"/>
      <c r="R317" s="913"/>
      <c r="S317" s="920"/>
      <c r="T317" s="916"/>
      <c r="U317" s="917"/>
      <c r="AE317" s="1054"/>
    </row>
    <row r="318" spans="1:31" ht="21.75" hidden="1" customHeight="1" x14ac:dyDescent="0.15">
      <c r="A318" s="569"/>
      <c r="B318" s="570"/>
      <c r="C318" s="570"/>
      <c r="D318" s="571"/>
      <c r="E318" s="572"/>
      <c r="F318" s="573"/>
      <c r="G318" s="942"/>
      <c r="H318" s="602"/>
      <c r="I318" s="574"/>
      <c r="J318" s="574"/>
      <c r="K318" s="955"/>
      <c r="L318" s="1217"/>
      <c r="M318" s="912"/>
      <c r="N318" s="910"/>
      <c r="O318" s="911"/>
      <c r="P318" s="913"/>
      <c r="Q318" s="922"/>
      <c r="R318" s="913"/>
      <c r="S318" s="920"/>
      <c r="T318" s="916"/>
      <c r="U318" s="917"/>
      <c r="AE318" s="1054"/>
    </row>
    <row r="319" spans="1:31" ht="21.75" customHeight="1" x14ac:dyDescent="0.15">
      <c r="A319" s="569"/>
      <c r="B319" s="570"/>
      <c r="C319" s="570"/>
      <c r="D319" s="571"/>
      <c r="E319" s="572"/>
      <c r="F319" s="573"/>
      <c r="G319" s="942"/>
      <c r="H319" s="602"/>
      <c r="I319" s="574"/>
      <c r="J319" s="574"/>
      <c r="K319" s="955"/>
      <c r="L319" s="1216" t="s">
        <v>732</v>
      </c>
      <c r="M319" s="1397" t="s">
        <v>735</v>
      </c>
      <c r="N319" s="1397"/>
      <c r="O319" s="1397"/>
      <c r="P319" s="1397"/>
      <c r="Q319" s="1397"/>
      <c r="R319" s="1397"/>
      <c r="S319" s="1397"/>
      <c r="T319" s="1397"/>
      <c r="U319" s="979">
        <f>SUM(U320:U449)</f>
        <v>437989960</v>
      </c>
      <c r="V319" s="544">
        <f>U319-'사. 임직원보수 일람표'!M214</f>
        <v>0</v>
      </c>
      <c r="AE319" s="1054"/>
    </row>
    <row r="320" spans="1:31" ht="21.75" hidden="1" customHeight="1" x14ac:dyDescent="0.15">
      <c r="A320" s="569"/>
      <c r="B320" s="570"/>
      <c r="C320" s="570"/>
      <c r="D320" s="571"/>
      <c r="E320" s="572"/>
      <c r="F320" s="573"/>
      <c r="G320" s="942"/>
      <c r="H320" s="602"/>
      <c r="I320" s="574"/>
      <c r="J320" s="574"/>
      <c r="K320" s="955"/>
      <c r="L320" s="1217" t="s">
        <v>655</v>
      </c>
      <c r="M320" s="910" t="s">
        <v>655</v>
      </c>
      <c r="N320" s="910" t="s">
        <v>656</v>
      </c>
      <c r="O320" s="911">
        <f>'사. 임직원보수 일람표'!L5</f>
        <v>29780</v>
      </c>
      <c r="P320" s="913" t="s">
        <v>733</v>
      </c>
      <c r="Q320" s="923">
        <v>20</v>
      </c>
      <c r="R320" s="913" t="s">
        <v>724</v>
      </c>
      <c r="S320" s="915">
        <f>'사. 임직원보수 일람표'!F5</f>
        <v>5</v>
      </c>
      <c r="T320" s="916" t="s">
        <v>345</v>
      </c>
      <c r="U320" s="917">
        <f>O320*Q320*S320</f>
        <v>2978000</v>
      </c>
      <c r="Y320" s="544"/>
      <c r="Z320" s="544"/>
      <c r="AA320" s="544"/>
      <c r="AE320" s="1054"/>
    </row>
    <row r="321" spans="1:31" ht="21.75" hidden="1" customHeight="1" x14ac:dyDescent="0.15">
      <c r="A321" s="569"/>
      <c r="B321" s="570"/>
      <c r="C321" s="570"/>
      <c r="D321" s="571"/>
      <c r="E321" s="572"/>
      <c r="F321" s="573"/>
      <c r="G321" s="942"/>
      <c r="H321" s="602"/>
      <c r="I321" s="574"/>
      <c r="J321" s="574"/>
      <c r="K321" s="955"/>
      <c r="L321" s="1217" t="s">
        <v>655</v>
      </c>
      <c r="M321" s="910" t="s">
        <v>655</v>
      </c>
      <c r="N321" s="910" t="s">
        <v>656</v>
      </c>
      <c r="O321" s="911">
        <f>'사. 임직원보수 일람표'!L6</f>
        <v>30310</v>
      </c>
      <c r="P321" s="913" t="s">
        <v>724</v>
      </c>
      <c r="Q321" s="923">
        <v>20</v>
      </c>
      <c r="R321" s="913" t="s">
        <v>724</v>
      </c>
      <c r="S321" s="915">
        <f>'사. 임직원보수 일람표'!F6</f>
        <v>7</v>
      </c>
      <c r="T321" s="916" t="s">
        <v>345</v>
      </c>
      <c r="U321" s="917">
        <f>O321*Q321*S321</f>
        <v>4243400</v>
      </c>
      <c r="Y321" s="544"/>
      <c r="Z321" s="544"/>
      <c r="AA321" s="544"/>
      <c r="AE321" s="1054"/>
    </row>
    <row r="322" spans="1:31" ht="21.75" hidden="1" customHeight="1" x14ac:dyDescent="0.15">
      <c r="A322" s="569"/>
      <c r="B322" s="570"/>
      <c r="C322" s="570"/>
      <c r="D322" s="571"/>
      <c r="E322" s="572"/>
      <c r="F322" s="573"/>
      <c r="G322" s="942"/>
      <c r="H322" s="602"/>
      <c r="I322" s="574"/>
      <c r="J322" s="574"/>
      <c r="K322" s="955"/>
      <c r="L322" s="1217" t="s">
        <v>657</v>
      </c>
      <c r="M322" s="910" t="s">
        <v>657</v>
      </c>
      <c r="N322" s="910" t="s">
        <v>658</v>
      </c>
      <c r="O322" s="911">
        <f>'사. 임직원보수 일람표'!L7</f>
        <v>29320</v>
      </c>
      <c r="P322" s="913" t="s">
        <v>724</v>
      </c>
      <c r="Q322" s="923">
        <v>20</v>
      </c>
      <c r="R322" s="913" t="s">
        <v>724</v>
      </c>
      <c r="S322" s="915">
        <f>'사. 임직원보수 일람표'!F7</f>
        <v>4</v>
      </c>
      <c r="T322" s="916" t="s">
        <v>345</v>
      </c>
      <c r="U322" s="917">
        <f t="shared" ref="U322:U327" si="23">O322*Q322*S322</f>
        <v>2345600</v>
      </c>
      <c r="Y322" s="544"/>
      <c r="Z322" s="544"/>
      <c r="AA322" s="544"/>
      <c r="AE322" s="1054"/>
    </row>
    <row r="323" spans="1:31" ht="21.75" hidden="1" customHeight="1" x14ac:dyDescent="0.15">
      <c r="A323" s="569"/>
      <c r="B323" s="570"/>
      <c r="C323" s="570"/>
      <c r="D323" s="571"/>
      <c r="E323" s="572"/>
      <c r="F323" s="573"/>
      <c r="G323" s="942"/>
      <c r="H323" s="602"/>
      <c r="I323" s="574"/>
      <c r="J323" s="574"/>
      <c r="K323" s="955"/>
      <c r="L323" s="1217" t="s">
        <v>657</v>
      </c>
      <c r="M323" s="910" t="s">
        <v>657</v>
      </c>
      <c r="N323" s="910" t="s">
        <v>658</v>
      </c>
      <c r="O323" s="911">
        <f>'사. 임직원보수 일람표'!L8</f>
        <v>29700</v>
      </c>
      <c r="P323" s="913" t="s">
        <v>724</v>
      </c>
      <c r="Q323" s="923">
        <v>20</v>
      </c>
      <c r="R323" s="913" t="s">
        <v>724</v>
      </c>
      <c r="S323" s="915">
        <f>'사. 임직원보수 일람표'!F8</f>
        <v>8</v>
      </c>
      <c r="T323" s="916" t="s">
        <v>345</v>
      </c>
      <c r="U323" s="917">
        <f t="shared" si="23"/>
        <v>4752000</v>
      </c>
      <c r="Y323" s="544"/>
      <c r="Z323" s="544"/>
      <c r="AA323" s="544"/>
      <c r="AE323" s="1054"/>
    </row>
    <row r="324" spans="1:31" ht="21.75" hidden="1" customHeight="1" x14ac:dyDescent="0.15">
      <c r="A324" s="569"/>
      <c r="B324" s="570"/>
      <c r="C324" s="570"/>
      <c r="D324" s="571"/>
      <c r="E324" s="572"/>
      <c r="F324" s="573"/>
      <c r="G324" s="942"/>
      <c r="H324" s="602"/>
      <c r="I324" s="574"/>
      <c r="J324" s="574"/>
      <c r="K324" s="955"/>
      <c r="L324" s="1217" t="s">
        <v>659</v>
      </c>
      <c r="M324" s="910" t="s">
        <v>660</v>
      </c>
      <c r="N324" s="910" t="s">
        <v>661</v>
      </c>
      <c r="O324" s="911">
        <f>'사. 임직원보수 일람표'!L9</f>
        <v>25890</v>
      </c>
      <c r="P324" s="913" t="s">
        <v>724</v>
      </c>
      <c r="Q324" s="923">
        <v>20</v>
      </c>
      <c r="R324" s="913" t="s">
        <v>724</v>
      </c>
      <c r="S324" s="915">
        <f>'사. 임직원보수 일람표'!F9</f>
        <v>6</v>
      </c>
      <c r="T324" s="916" t="s">
        <v>345</v>
      </c>
      <c r="U324" s="917">
        <f t="shared" si="23"/>
        <v>3106800</v>
      </c>
      <c r="Y324" s="544"/>
      <c r="Z324" s="544"/>
      <c r="AA324" s="544"/>
      <c r="AE324" s="1054"/>
    </row>
    <row r="325" spans="1:31" ht="21.75" hidden="1" customHeight="1" x14ac:dyDescent="0.15">
      <c r="A325" s="569"/>
      <c r="B325" s="570"/>
      <c r="C325" s="570"/>
      <c r="D325" s="571"/>
      <c r="E325" s="572"/>
      <c r="F325" s="573"/>
      <c r="G325" s="942"/>
      <c r="H325" s="602"/>
      <c r="I325" s="574"/>
      <c r="J325" s="574"/>
      <c r="K325" s="955"/>
      <c r="L325" s="1217" t="s">
        <v>659</v>
      </c>
      <c r="M325" s="910" t="s">
        <v>660</v>
      </c>
      <c r="N325" s="910" t="s">
        <v>661</v>
      </c>
      <c r="O325" s="911">
        <f>'사. 임직원보수 일람표'!L10</f>
        <v>26300</v>
      </c>
      <c r="P325" s="913" t="s">
        <v>724</v>
      </c>
      <c r="Q325" s="923">
        <v>20</v>
      </c>
      <c r="R325" s="913" t="s">
        <v>724</v>
      </c>
      <c r="S325" s="915">
        <f>'사. 임직원보수 일람표'!F10</f>
        <v>6</v>
      </c>
      <c r="T325" s="916" t="s">
        <v>345</v>
      </c>
      <c r="U325" s="917">
        <f t="shared" si="23"/>
        <v>3156000</v>
      </c>
      <c r="Y325" s="544"/>
      <c r="Z325" s="544"/>
      <c r="AA325" s="544"/>
      <c r="AE325" s="1054"/>
    </row>
    <row r="326" spans="1:31" ht="21.75" hidden="1" customHeight="1" x14ac:dyDescent="0.15">
      <c r="A326" s="569"/>
      <c r="B326" s="570"/>
      <c r="C326" s="570"/>
      <c r="D326" s="571"/>
      <c r="E326" s="572"/>
      <c r="F326" s="573"/>
      <c r="G326" s="942"/>
      <c r="H326" s="602"/>
      <c r="I326" s="574"/>
      <c r="J326" s="574"/>
      <c r="K326" s="955"/>
      <c r="L326" s="1217" t="s">
        <v>662</v>
      </c>
      <c r="M326" s="910" t="s">
        <v>663</v>
      </c>
      <c r="N326" s="910" t="s">
        <v>664</v>
      </c>
      <c r="O326" s="911">
        <f>'사. 임직원보수 일람표'!L11</f>
        <v>28280</v>
      </c>
      <c r="P326" s="913" t="s">
        <v>724</v>
      </c>
      <c r="Q326" s="923">
        <v>20</v>
      </c>
      <c r="R326" s="913" t="s">
        <v>724</v>
      </c>
      <c r="S326" s="915">
        <f>'사. 임직원보수 일람표'!F11</f>
        <v>3</v>
      </c>
      <c r="T326" s="916" t="s">
        <v>345</v>
      </c>
      <c r="U326" s="917">
        <f t="shared" si="23"/>
        <v>1696800</v>
      </c>
      <c r="Y326" s="544"/>
      <c r="Z326" s="544"/>
      <c r="AA326" s="544"/>
      <c r="AE326" s="1054"/>
    </row>
    <row r="327" spans="1:31" ht="21.75" hidden="1" customHeight="1" x14ac:dyDescent="0.15">
      <c r="A327" s="569"/>
      <c r="B327" s="570"/>
      <c r="C327" s="570"/>
      <c r="D327" s="571"/>
      <c r="E327" s="572"/>
      <c r="F327" s="573"/>
      <c r="G327" s="942"/>
      <c r="H327" s="602"/>
      <c r="I327" s="574"/>
      <c r="J327" s="574"/>
      <c r="K327" s="955"/>
      <c r="L327" s="1217" t="s">
        <v>662</v>
      </c>
      <c r="M327" s="910" t="s">
        <v>663</v>
      </c>
      <c r="N327" s="910" t="s">
        <v>664</v>
      </c>
      <c r="O327" s="911">
        <f>'사. 임직원보수 일람표'!L12</f>
        <v>28530</v>
      </c>
      <c r="P327" s="913" t="s">
        <v>724</v>
      </c>
      <c r="Q327" s="923">
        <v>20</v>
      </c>
      <c r="R327" s="913" t="s">
        <v>724</v>
      </c>
      <c r="S327" s="915">
        <f>'사. 임직원보수 일람표'!F12</f>
        <v>9</v>
      </c>
      <c r="T327" s="916" t="s">
        <v>345</v>
      </c>
      <c r="U327" s="917">
        <f t="shared" si="23"/>
        <v>5135400</v>
      </c>
      <c r="Y327" s="544"/>
      <c r="Z327" s="544"/>
      <c r="AA327" s="544"/>
      <c r="AE327" s="1054"/>
    </row>
    <row r="328" spans="1:31" ht="21.75" hidden="1" customHeight="1" x14ac:dyDescent="0.15">
      <c r="A328" s="569"/>
      <c r="B328" s="570"/>
      <c r="C328" s="570"/>
      <c r="D328" s="571"/>
      <c r="E328" s="572"/>
      <c r="F328" s="573"/>
      <c r="G328" s="942"/>
      <c r="H328" s="602"/>
      <c r="I328" s="574"/>
      <c r="J328" s="574"/>
      <c r="K328" s="955"/>
      <c r="L328" s="1217" t="s">
        <v>665</v>
      </c>
      <c r="M328" s="910" t="s">
        <v>663</v>
      </c>
      <c r="N328" s="910" t="s">
        <v>666</v>
      </c>
      <c r="O328" s="911">
        <f>'사. 임직원보수 일람표'!L13</f>
        <v>21900</v>
      </c>
      <c r="P328" s="913" t="s">
        <v>724</v>
      </c>
      <c r="Q328" s="923">
        <v>20</v>
      </c>
      <c r="R328" s="913" t="s">
        <v>724</v>
      </c>
      <c r="S328" s="915">
        <f>'사. 임직원보수 일람표'!F13</f>
        <v>11</v>
      </c>
      <c r="T328" s="916" t="s">
        <v>345</v>
      </c>
      <c r="U328" s="917">
        <f>O328*Q328*S328</f>
        <v>4818000</v>
      </c>
      <c r="Y328" s="544"/>
      <c r="Z328" s="544"/>
      <c r="AA328" s="544"/>
      <c r="AE328" s="1054"/>
    </row>
    <row r="329" spans="1:31" ht="21.75" hidden="1" customHeight="1" x14ac:dyDescent="0.15">
      <c r="A329" s="569"/>
      <c r="B329" s="570"/>
      <c r="C329" s="570"/>
      <c r="D329" s="571"/>
      <c r="E329" s="572"/>
      <c r="F329" s="573"/>
      <c r="G329" s="942"/>
      <c r="H329" s="602"/>
      <c r="I329" s="574"/>
      <c r="J329" s="574"/>
      <c r="K329" s="955"/>
      <c r="L329" s="1217" t="s">
        <v>665</v>
      </c>
      <c r="M329" s="910" t="s">
        <v>663</v>
      </c>
      <c r="N329" s="910" t="s">
        <v>666</v>
      </c>
      <c r="O329" s="911">
        <f>'사. 임직원보수 일람표'!L14</f>
        <v>22360</v>
      </c>
      <c r="P329" s="913" t="s">
        <v>724</v>
      </c>
      <c r="Q329" s="923">
        <v>20</v>
      </c>
      <c r="R329" s="913" t="s">
        <v>724</v>
      </c>
      <c r="S329" s="915">
        <f>'사. 임직원보수 일람표'!F14</f>
        <v>1</v>
      </c>
      <c r="T329" s="916" t="s">
        <v>345</v>
      </c>
      <c r="U329" s="917">
        <f t="shared" ref="U329:U391" si="24">O329*Q329*S329</f>
        <v>447200</v>
      </c>
      <c r="Y329" s="544"/>
      <c r="Z329" s="544"/>
      <c r="AA329" s="544"/>
      <c r="AE329" s="1054"/>
    </row>
    <row r="330" spans="1:31" ht="21.75" hidden="1" customHeight="1" x14ac:dyDescent="0.15">
      <c r="A330" s="569"/>
      <c r="B330" s="570"/>
      <c r="C330" s="570"/>
      <c r="D330" s="571"/>
      <c r="E330" s="572"/>
      <c r="F330" s="573"/>
      <c r="G330" s="942"/>
      <c r="H330" s="602"/>
      <c r="I330" s="574"/>
      <c r="J330" s="574"/>
      <c r="K330" s="955"/>
      <c r="L330" s="1217" t="s">
        <v>667</v>
      </c>
      <c r="M330" s="910" t="s">
        <v>663</v>
      </c>
      <c r="N330" s="910" t="s">
        <v>1263</v>
      </c>
      <c r="O330" s="911">
        <f>'사. 임직원보수 일람표'!L15</f>
        <v>23000</v>
      </c>
      <c r="P330" s="913" t="s">
        <v>724</v>
      </c>
      <c r="Q330" s="923">
        <v>20</v>
      </c>
      <c r="R330" s="913" t="s">
        <v>724</v>
      </c>
      <c r="S330" s="915">
        <f>'사. 임직원보수 일람표'!F15</f>
        <v>8</v>
      </c>
      <c r="T330" s="916" t="s">
        <v>345</v>
      </c>
      <c r="U330" s="917">
        <f t="shared" si="24"/>
        <v>3680000</v>
      </c>
      <c r="Y330" s="544"/>
      <c r="Z330" s="544"/>
      <c r="AA330" s="544"/>
      <c r="AE330" s="1054"/>
    </row>
    <row r="331" spans="1:31" ht="21.75" hidden="1" customHeight="1" x14ac:dyDescent="0.15">
      <c r="A331" s="569"/>
      <c r="B331" s="570"/>
      <c r="C331" s="570"/>
      <c r="D331" s="571"/>
      <c r="E331" s="572"/>
      <c r="F331" s="573"/>
      <c r="G331" s="942"/>
      <c r="H331" s="602"/>
      <c r="I331" s="574"/>
      <c r="J331" s="574"/>
      <c r="K331" s="955"/>
      <c r="L331" s="1217" t="s">
        <v>667</v>
      </c>
      <c r="M331" s="910" t="s">
        <v>1264</v>
      </c>
      <c r="N331" s="910" t="s">
        <v>1263</v>
      </c>
      <c r="O331" s="911">
        <f>'사. 임직원보수 일람표'!L16</f>
        <v>23540</v>
      </c>
      <c r="P331" s="913" t="s">
        <v>724</v>
      </c>
      <c r="Q331" s="923">
        <v>20</v>
      </c>
      <c r="R331" s="913" t="s">
        <v>724</v>
      </c>
      <c r="S331" s="915">
        <f>'사. 임직원보수 일람표'!F16</f>
        <v>4</v>
      </c>
      <c r="T331" s="916" t="s">
        <v>345</v>
      </c>
      <c r="U331" s="917">
        <f t="shared" si="24"/>
        <v>1883200</v>
      </c>
      <c r="Y331" s="544"/>
      <c r="Z331" s="544"/>
      <c r="AA331" s="544"/>
      <c r="AE331" s="1054"/>
    </row>
    <row r="332" spans="1:31" ht="21.75" hidden="1" customHeight="1" x14ac:dyDescent="0.15">
      <c r="A332" s="569"/>
      <c r="B332" s="570"/>
      <c r="C332" s="570"/>
      <c r="D332" s="571"/>
      <c r="E332" s="572"/>
      <c r="F332" s="573"/>
      <c r="G332" s="942"/>
      <c r="H332" s="602"/>
      <c r="I332" s="574"/>
      <c r="J332" s="574"/>
      <c r="K332" s="955"/>
      <c r="L332" s="1217" t="s">
        <v>668</v>
      </c>
      <c r="M332" s="910"/>
      <c r="N332" s="910" t="s">
        <v>669</v>
      </c>
      <c r="O332" s="911">
        <f>'사. 임직원보수 일람표'!L17</f>
        <v>23540</v>
      </c>
      <c r="P332" s="913" t="s">
        <v>724</v>
      </c>
      <c r="Q332" s="923">
        <v>20</v>
      </c>
      <c r="R332" s="913" t="s">
        <v>724</v>
      </c>
      <c r="S332" s="915">
        <f>'사. 임직원보수 일람표'!F17</f>
        <v>3</v>
      </c>
      <c r="T332" s="916" t="s">
        <v>345</v>
      </c>
      <c r="U332" s="917">
        <f t="shared" si="24"/>
        <v>1412400</v>
      </c>
      <c r="Y332" s="544"/>
      <c r="Z332" s="544"/>
      <c r="AA332" s="544"/>
      <c r="AE332" s="1054"/>
    </row>
    <row r="333" spans="1:31" ht="21.75" hidden="1" customHeight="1" x14ac:dyDescent="0.15">
      <c r="A333" s="569"/>
      <c r="B333" s="570"/>
      <c r="C333" s="570"/>
      <c r="D333" s="571"/>
      <c r="E333" s="572"/>
      <c r="F333" s="573"/>
      <c r="G333" s="942"/>
      <c r="H333" s="602"/>
      <c r="I333" s="574"/>
      <c r="J333" s="574"/>
      <c r="K333" s="955"/>
      <c r="L333" s="1217" t="s">
        <v>668</v>
      </c>
      <c r="M333" s="910"/>
      <c r="N333" s="910" t="s">
        <v>669</v>
      </c>
      <c r="O333" s="911">
        <f>'사. 임직원보수 일람표'!L18</f>
        <v>24060</v>
      </c>
      <c r="P333" s="913" t="s">
        <v>724</v>
      </c>
      <c r="Q333" s="923">
        <v>20</v>
      </c>
      <c r="R333" s="913" t="s">
        <v>724</v>
      </c>
      <c r="S333" s="915">
        <f>'사. 임직원보수 일람표'!F18</f>
        <v>9</v>
      </c>
      <c r="T333" s="916" t="s">
        <v>345</v>
      </c>
      <c r="U333" s="917">
        <f t="shared" si="24"/>
        <v>4330800</v>
      </c>
      <c r="Y333" s="544"/>
      <c r="Z333" s="544"/>
      <c r="AA333" s="544"/>
      <c r="AE333" s="1054"/>
    </row>
    <row r="334" spans="1:31" ht="21.75" hidden="1" customHeight="1" x14ac:dyDescent="0.15">
      <c r="A334" s="569"/>
      <c r="B334" s="570"/>
      <c r="C334" s="570"/>
      <c r="D334" s="571"/>
      <c r="E334" s="572"/>
      <c r="F334" s="573"/>
      <c r="G334" s="942"/>
      <c r="H334" s="602"/>
      <c r="I334" s="574"/>
      <c r="J334" s="574"/>
      <c r="K334" s="955"/>
      <c r="L334" s="1217" t="s">
        <v>670</v>
      </c>
      <c r="M334" s="910"/>
      <c r="N334" s="910" t="s">
        <v>653</v>
      </c>
      <c r="O334" s="911">
        <f>'사. 임직원보수 일람표'!L19</f>
        <v>19460</v>
      </c>
      <c r="P334" s="913" t="s">
        <v>724</v>
      </c>
      <c r="Q334" s="923">
        <v>20</v>
      </c>
      <c r="R334" s="913" t="s">
        <v>724</v>
      </c>
      <c r="S334" s="915">
        <f>'사. 임직원보수 일람표'!F19</f>
        <v>1</v>
      </c>
      <c r="T334" s="916" t="s">
        <v>345</v>
      </c>
      <c r="U334" s="917">
        <f t="shared" si="24"/>
        <v>389200</v>
      </c>
      <c r="Y334" s="544"/>
      <c r="Z334" s="544"/>
      <c r="AA334" s="544"/>
      <c r="AE334" s="1054"/>
    </row>
    <row r="335" spans="1:31" ht="21.75" hidden="1" customHeight="1" x14ac:dyDescent="0.15">
      <c r="A335" s="569"/>
      <c r="B335" s="570"/>
      <c r="C335" s="570"/>
      <c r="D335" s="571"/>
      <c r="E335" s="572"/>
      <c r="F335" s="573"/>
      <c r="G335" s="942"/>
      <c r="H335" s="602"/>
      <c r="I335" s="574"/>
      <c r="J335" s="574"/>
      <c r="K335" s="955"/>
      <c r="L335" s="1217" t="s">
        <v>670</v>
      </c>
      <c r="M335" s="910"/>
      <c r="N335" s="910" t="s">
        <v>672</v>
      </c>
      <c r="O335" s="911">
        <f>'사. 임직원보수 일람표'!L20</f>
        <v>20300</v>
      </c>
      <c r="P335" s="913" t="s">
        <v>724</v>
      </c>
      <c r="Q335" s="923">
        <v>20</v>
      </c>
      <c r="R335" s="913" t="s">
        <v>724</v>
      </c>
      <c r="S335" s="915">
        <f>'사. 임직원보수 일람표'!F20</f>
        <v>11</v>
      </c>
      <c r="T335" s="916" t="s">
        <v>345</v>
      </c>
      <c r="U335" s="917">
        <f t="shared" si="24"/>
        <v>4466000</v>
      </c>
      <c r="Y335" s="544"/>
      <c r="Z335" s="544"/>
      <c r="AA335" s="544"/>
      <c r="AE335" s="1054"/>
    </row>
    <row r="336" spans="1:31" ht="21.75" hidden="1" customHeight="1" x14ac:dyDescent="0.15">
      <c r="A336" s="569"/>
      <c r="B336" s="570"/>
      <c r="C336" s="570"/>
      <c r="D336" s="571"/>
      <c r="E336" s="572"/>
      <c r="F336" s="573"/>
      <c r="G336" s="942"/>
      <c r="H336" s="602"/>
      <c r="I336" s="574"/>
      <c r="J336" s="574"/>
      <c r="K336" s="955"/>
      <c r="L336" s="1217" t="s">
        <v>673</v>
      </c>
      <c r="M336" s="910"/>
      <c r="N336" s="910" t="s">
        <v>674</v>
      </c>
      <c r="O336" s="911">
        <f>'사. 임직원보수 일람표'!L21</f>
        <v>24060</v>
      </c>
      <c r="P336" s="913" t="s">
        <v>724</v>
      </c>
      <c r="Q336" s="923">
        <v>20</v>
      </c>
      <c r="R336" s="913" t="s">
        <v>724</v>
      </c>
      <c r="S336" s="915">
        <f>'사. 임직원보수 일람표'!F21</f>
        <v>7</v>
      </c>
      <c r="T336" s="916" t="s">
        <v>345</v>
      </c>
      <c r="U336" s="917">
        <f t="shared" si="24"/>
        <v>3368400</v>
      </c>
      <c r="Y336" s="544"/>
      <c r="Z336" s="544"/>
      <c r="AA336" s="544"/>
      <c r="AE336" s="1054"/>
    </row>
    <row r="337" spans="1:31" ht="21.75" hidden="1" customHeight="1" x14ac:dyDescent="0.15">
      <c r="A337" s="569"/>
      <c r="B337" s="570"/>
      <c r="C337" s="570"/>
      <c r="D337" s="571"/>
      <c r="E337" s="572"/>
      <c r="F337" s="573"/>
      <c r="G337" s="942"/>
      <c r="H337" s="602"/>
      <c r="I337" s="574"/>
      <c r="J337" s="574"/>
      <c r="K337" s="955"/>
      <c r="L337" s="1217" t="s">
        <v>673</v>
      </c>
      <c r="M337" s="910"/>
      <c r="N337" s="910" t="s">
        <v>674</v>
      </c>
      <c r="O337" s="911">
        <f>'사. 임직원보수 일람표'!L22</f>
        <v>24560</v>
      </c>
      <c r="P337" s="913" t="s">
        <v>724</v>
      </c>
      <c r="Q337" s="923">
        <v>20</v>
      </c>
      <c r="R337" s="913" t="s">
        <v>724</v>
      </c>
      <c r="S337" s="915">
        <f>'사. 임직원보수 일람표'!F22</f>
        <v>5</v>
      </c>
      <c r="T337" s="916" t="s">
        <v>345</v>
      </c>
      <c r="U337" s="917">
        <f t="shared" si="24"/>
        <v>2456000</v>
      </c>
      <c r="Y337" s="544"/>
      <c r="Z337" s="544"/>
      <c r="AA337" s="544"/>
      <c r="AE337" s="1054"/>
    </row>
    <row r="338" spans="1:31" ht="21.75" hidden="1" customHeight="1" x14ac:dyDescent="0.15">
      <c r="A338" s="569"/>
      <c r="B338" s="570"/>
      <c r="C338" s="570"/>
      <c r="D338" s="571"/>
      <c r="E338" s="572"/>
      <c r="F338" s="573"/>
      <c r="G338" s="942"/>
      <c r="H338" s="602"/>
      <c r="I338" s="574"/>
      <c r="J338" s="574"/>
      <c r="K338" s="955"/>
      <c r="L338" s="1217" t="s">
        <v>675</v>
      </c>
      <c r="M338" s="910" t="s">
        <v>660</v>
      </c>
      <c r="N338" s="910" t="s">
        <v>676</v>
      </c>
      <c r="O338" s="911">
        <f>'사. 임직원보수 일람표'!L23</f>
        <v>25490</v>
      </c>
      <c r="P338" s="913" t="s">
        <v>724</v>
      </c>
      <c r="Q338" s="923">
        <v>20</v>
      </c>
      <c r="R338" s="913" t="s">
        <v>724</v>
      </c>
      <c r="S338" s="915">
        <f>'사. 임직원보수 일람표'!F23</f>
        <v>9</v>
      </c>
      <c r="T338" s="916" t="s">
        <v>345</v>
      </c>
      <c r="U338" s="917">
        <f t="shared" si="24"/>
        <v>4588200</v>
      </c>
      <c r="Y338" s="544"/>
      <c r="Z338" s="544"/>
      <c r="AA338" s="544"/>
      <c r="AE338" s="1054"/>
    </row>
    <row r="339" spans="1:31" ht="21.75" hidden="1" customHeight="1" x14ac:dyDescent="0.15">
      <c r="A339" s="569"/>
      <c r="B339" s="570"/>
      <c r="C339" s="570"/>
      <c r="D339" s="571"/>
      <c r="E339" s="572"/>
      <c r="F339" s="573"/>
      <c r="G339" s="942"/>
      <c r="H339" s="602"/>
      <c r="I339" s="574"/>
      <c r="J339" s="574"/>
      <c r="K339" s="955"/>
      <c r="L339" s="1217" t="s">
        <v>675</v>
      </c>
      <c r="M339" s="910" t="s">
        <v>660</v>
      </c>
      <c r="N339" s="910" t="s">
        <v>676</v>
      </c>
      <c r="O339" s="911">
        <f>'사. 임직원보수 일람표'!L24</f>
        <v>25890</v>
      </c>
      <c r="P339" s="913" t="s">
        <v>724</v>
      </c>
      <c r="Q339" s="923">
        <v>20</v>
      </c>
      <c r="R339" s="913" t="s">
        <v>724</v>
      </c>
      <c r="S339" s="915">
        <f>'사. 임직원보수 일람표'!F24</f>
        <v>3</v>
      </c>
      <c r="T339" s="916" t="s">
        <v>345</v>
      </c>
      <c r="U339" s="917">
        <f t="shared" si="24"/>
        <v>1553400</v>
      </c>
      <c r="Y339" s="544"/>
      <c r="Z339" s="544"/>
      <c r="AA339" s="544"/>
      <c r="AE339" s="1054"/>
    </row>
    <row r="340" spans="1:31" ht="21.75" hidden="1" customHeight="1" x14ac:dyDescent="0.15">
      <c r="A340" s="569"/>
      <c r="B340" s="570"/>
      <c r="C340" s="570"/>
      <c r="D340" s="571"/>
      <c r="E340" s="572"/>
      <c r="F340" s="573"/>
      <c r="G340" s="942"/>
      <c r="H340" s="602"/>
      <c r="I340" s="574"/>
      <c r="J340" s="574"/>
      <c r="K340" s="955"/>
      <c r="L340" s="1217" t="s">
        <v>665</v>
      </c>
      <c r="M340" s="910" t="s">
        <v>663</v>
      </c>
      <c r="N340" s="910" t="s">
        <v>677</v>
      </c>
      <c r="O340" s="911">
        <f>'사. 임직원보수 일람표'!L25</f>
        <v>21420</v>
      </c>
      <c r="P340" s="913" t="s">
        <v>724</v>
      </c>
      <c r="Q340" s="923">
        <v>20</v>
      </c>
      <c r="R340" s="913" t="s">
        <v>724</v>
      </c>
      <c r="S340" s="915">
        <f>'사. 임직원보수 일람표'!F25</f>
        <v>7</v>
      </c>
      <c r="T340" s="916" t="s">
        <v>345</v>
      </c>
      <c r="U340" s="917">
        <f t="shared" si="24"/>
        <v>2998800</v>
      </c>
      <c r="Y340" s="544"/>
      <c r="Z340" s="544"/>
      <c r="AA340" s="544"/>
      <c r="AE340" s="1054"/>
    </row>
    <row r="341" spans="1:31" ht="21.75" hidden="1" customHeight="1" x14ac:dyDescent="0.15">
      <c r="A341" s="569"/>
      <c r="B341" s="570"/>
      <c r="C341" s="570"/>
      <c r="D341" s="571"/>
      <c r="E341" s="572"/>
      <c r="F341" s="573"/>
      <c r="G341" s="942"/>
      <c r="H341" s="602"/>
      <c r="I341" s="574"/>
      <c r="J341" s="574"/>
      <c r="K341" s="955"/>
      <c r="L341" s="1217" t="s">
        <v>665</v>
      </c>
      <c r="M341" s="910" t="s">
        <v>663</v>
      </c>
      <c r="N341" s="910" t="s">
        <v>677</v>
      </c>
      <c r="O341" s="911">
        <f>'사. 임직원보수 일람표'!L26</f>
        <v>21900</v>
      </c>
      <c r="P341" s="913" t="s">
        <v>724</v>
      </c>
      <c r="Q341" s="923">
        <v>20</v>
      </c>
      <c r="R341" s="913" t="s">
        <v>724</v>
      </c>
      <c r="S341" s="915">
        <f>'사. 임직원보수 일람표'!F26</f>
        <v>5</v>
      </c>
      <c r="T341" s="916" t="s">
        <v>345</v>
      </c>
      <c r="U341" s="917">
        <f t="shared" si="24"/>
        <v>2190000</v>
      </c>
      <c r="Y341" s="544"/>
      <c r="Z341" s="544"/>
      <c r="AA341" s="544"/>
      <c r="AE341" s="1054"/>
    </row>
    <row r="342" spans="1:31" ht="21.75" hidden="1" customHeight="1" x14ac:dyDescent="0.15">
      <c r="A342" s="569"/>
      <c r="B342" s="570"/>
      <c r="C342" s="570"/>
      <c r="D342" s="571"/>
      <c r="E342" s="572"/>
      <c r="F342" s="573"/>
      <c r="G342" s="942"/>
      <c r="H342" s="602"/>
      <c r="I342" s="574"/>
      <c r="J342" s="574"/>
      <c r="K342" s="955"/>
      <c r="L342" s="1217" t="s">
        <v>678</v>
      </c>
      <c r="M342" s="910"/>
      <c r="N342" s="910" t="s">
        <v>679</v>
      </c>
      <c r="O342" s="911">
        <f>'사. 임직원보수 일람표'!L27</f>
        <v>20460</v>
      </c>
      <c r="P342" s="913" t="s">
        <v>724</v>
      </c>
      <c r="Q342" s="923">
        <v>20</v>
      </c>
      <c r="R342" s="913" t="s">
        <v>724</v>
      </c>
      <c r="S342" s="915">
        <f>'사. 임직원보수 일람표'!F27</f>
        <v>3</v>
      </c>
      <c r="T342" s="916" t="s">
        <v>345</v>
      </c>
      <c r="U342" s="917">
        <f t="shared" si="24"/>
        <v>1227600</v>
      </c>
      <c r="Y342" s="544"/>
      <c r="Z342" s="544"/>
      <c r="AA342" s="544"/>
      <c r="AE342" s="1054"/>
    </row>
    <row r="343" spans="1:31" ht="21.75" hidden="1" customHeight="1" x14ac:dyDescent="0.15">
      <c r="A343" s="569"/>
      <c r="B343" s="570"/>
      <c r="C343" s="570"/>
      <c r="D343" s="571"/>
      <c r="E343" s="572"/>
      <c r="F343" s="573"/>
      <c r="G343" s="942"/>
      <c r="H343" s="602"/>
      <c r="I343" s="574"/>
      <c r="J343" s="574"/>
      <c r="K343" s="955"/>
      <c r="L343" s="1217" t="s">
        <v>678</v>
      </c>
      <c r="M343" s="910"/>
      <c r="N343" s="910" t="s">
        <v>679</v>
      </c>
      <c r="O343" s="911">
        <f>'사. 임직원보수 일람표'!L28</f>
        <v>20900</v>
      </c>
      <c r="P343" s="913" t="s">
        <v>724</v>
      </c>
      <c r="Q343" s="923">
        <v>20</v>
      </c>
      <c r="R343" s="913" t="s">
        <v>724</v>
      </c>
      <c r="S343" s="915">
        <f>'사. 임직원보수 일람표'!F28</f>
        <v>9</v>
      </c>
      <c r="T343" s="916" t="s">
        <v>345</v>
      </c>
      <c r="U343" s="917">
        <f t="shared" si="24"/>
        <v>3762000</v>
      </c>
      <c r="Y343" s="544"/>
      <c r="Z343" s="544"/>
      <c r="AA343" s="544"/>
      <c r="AE343" s="1054"/>
    </row>
    <row r="344" spans="1:31" ht="21.75" hidden="1" customHeight="1" x14ac:dyDescent="0.15">
      <c r="A344" s="569"/>
      <c r="B344" s="570"/>
      <c r="C344" s="570"/>
      <c r="D344" s="571"/>
      <c r="E344" s="572"/>
      <c r="F344" s="573"/>
      <c r="G344" s="942"/>
      <c r="H344" s="602"/>
      <c r="I344" s="574"/>
      <c r="J344" s="574"/>
      <c r="K344" s="955"/>
      <c r="L344" s="1217" t="s">
        <v>680</v>
      </c>
      <c r="M344" s="910" t="s">
        <v>663</v>
      </c>
      <c r="N344" s="910" t="s">
        <v>681</v>
      </c>
      <c r="O344" s="911">
        <f>'사. 임직원보수 일람표'!L29</f>
        <v>20020</v>
      </c>
      <c r="P344" s="913" t="s">
        <v>724</v>
      </c>
      <c r="Q344" s="923">
        <v>20</v>
      </c>
      <c r="R344" s="913" t="s">
        <v>724</v>
      </c>
      <c r="S344" s="915">
        <f>'사. 임직원보수 일람표'!F29</f>
        <v>1</v>
      </c>
      <c r="T344" s="916" t="s">
        <v>345</v>
      </c>
      <c r="U344" s="917">
        <f t="shared" si="24"/>
        <v>400400</v>
      </c>
      <c r="Y344" s="544"/>
      <c r="Z344" s="544"/>
      <c r="AA344" s="544"/>
      <c r="AE344" s="1054"/>
    </row>
    <row r="345" spans="1:31" ht="21.75" hidden="1" customHeight="1" x14ac:dyDescent="0.15">
      <c r="A345" s="569"/>
      <c r="B345" s="570"/>
      <c r="C345" s="570"/>
      <c r="D345" s="571"/>
      <c r="E345" s="572"/>
      <c r="F345" s="573"/>
      <c r="G345" s="942"/>
      <c r="H345" s="602"/>
      <c r="I345" s="574"/>
      <c r="J345" s="574"/>
      <c r="K345" s="955"/>
      <c r="L345" s="1217" t="s">
        <v>680</v>
      </c>
      <c r="M345" s="910" t="s">
        <v>663</v>
      </c>
      <c r="N345" s="910" t="s">
        <v>681</v>
      </c>
      <c r="O345" s="911">
        <f>'사. 임직원보수 일람표'!L30</f>
        <v>20460</v>
      </c>
      <c r="P345" s="913" t="s">
        <v>724</v>
      </c>
      <c r="Q345" s="923">
        <v>20</v>
      </c>
      <c r="R345" s="913" t="s">
        <v>724</v>
      </c>
      <c r="S345" s="915">
        <f>'사. 임직원보수 일람표'!F30</f>
        <v>11</v>
      </c>
      <c r="T345" s="916" t="s">
        <v>345</v>
      </c>
      <c r="U345" s="917">
        <f t="shared" si="24"/>
        <v>4501200</v>
      </c>
      <c r="Y345" s="544"/>
      <c r="Z345" s="544"/>
      <c r="AA345" s="544"/>
      <c r="AE345" s="1054"/>
    </row>
    <row r="346" spans="1:31" ht="21.75" hidden="1" customHeight="1" x14ac:dyDescent="0.15">
      <c r="A346" s="569"/>
      <c r="B346" s="570"/>
      <c r="C346" s="570"/>
      <c r="D346" s="571"/>
      <c r="E346" s="572"/>
      <c r="F346" s="573"/>
      <c r="G346" s="942"/>
      <c r="H346" s="602"/>
      <c r="I346" s="574"/>
      <c r="J346" s="574"/>
      <c r="K346" s="955"/>
      <c r="L346" s="1217" t="s">
        <v>680</v>
      </c>
      <c r="M346" s="910"/>
      <c r="N346" s="910" t="s">
        <v>682</v>
      </c>
      <c r="O346" s="911">
        <f>'사. 임직원보수 일람표'!L31</f>
        <v>21320</v>
      </c>
      <c r="P346" s="913" t="s">
        <v>724</v>
      </c>
      <c r="Q346" s="923">
        <v>40</v>
      </c>
      <c r="R346" s="913" t="s">
        <v>724</v>
      </c>
      <c r="S346" s="915">
        <f>'사. 임직원보수 일람표'!F31</f>
        <v>5</v>
      </c>
      <c r="T346" s="916" t="s">
        <v>345</v>
      </c>
      <c r="U346" s="917">
        <f t="shared" si="24"/>
        <v>4264000</v>
      </c>
      <c r="Y346" s="544"/>
      <c r="Z346" s="544"/>
      <c r="AA346" s="544"/>
      <c r="AE346" s="1054"/>
    </row>
    <row r="347" spans="1:31" ht="21.75" hidden="1" customHeight="1" x14ac:dyDescent="0.15">
      <c r="A347" s="569"/>
      <c r="B347" s="570"/>
      <c r="C347" s="570"/>
      <c r="D347" s="571"/>
      <c r="E347" s="572"/>
      <c r="F347" s="573"/>
      <c r="G347" s="942"/>
      <c r="H347" s="602"/>
      <c r="I347" s="574"/>
      <c r="J347" s="574"/>
      <c r="K347" s="955"/>
      <c r="L347" s="1217" t="s">
        <v>680</v>
      </c>
      <c r="M347" s="910"/>
      <c r="N347" s="910" t="s">
        <v>682</v>
      </c>
      <c r="O347" s="911">
        <f>'사. 임직원보수 일람표'!L32</f>
        <v>21700</v>
      </c>
      <c r="P347" s="913" t="s">
        <v>724</v>
      </c>
      <c r="Q347" s="923">
        <v>40</v>
      </c>
      <c r="R347" s="913" t="s">
        <v>724</v>
      </c>
      <c r="S347" s="915">
        <f>'사. 임직원보수 일람표'!F32</f>
        <v>7</v>
      </c>
      <c r="T347" s="916" t="s">
        <v>345</v>
      </c>
      <c r="U347" s="917">
        <f t="shared" si="24"/>
        <v>6076000</v>
      </c>
      <c r="Y347" s="544"/>
      <c r="Z347" s="544"/>
      <c r="AA347" s="544"/>
      <c r="AE347" s="1054"/>
    </row>
    <row r="348" spans="1:31" ht="21.75" hidden="1" customHeight="1" x14ac:dyDescent="0.15">
      <c r="A348" s="569"/>
      <c r="B348" s="570"/>
      <c r="C348" s="570"/>
      <c r="D348" s="571"/>
      <c r="E348" s="572"/>
      <c r="F348" s="573"/>
      <c r="G348" s="942"/>
      <c r="H348" s="602"/>
      <c r="I348" s="574"/>
      <c r="J348" s="574"/>
      <c r="K348" s="955"/>
      <c r="L348" s="1217" t="s">
        <v>680</v>
      </c>
      <c r="M348" s="910"/>
      <c r="N348" s="910" t="s">
        <v>683</v>
      </c>
      <c r="O348" s="911">
        <f>'사. 임직원보수 일람표'!L33</f>
        <v>19140</v>
      </c>
      <c r="P348" s="913" t="s">
        <v>724</v>
      </c>
      <c r="Q348" s="923">
        <v>40</v>
      </c>
      <c r="R348" s="913" t="s">
        <v>724</v>
      </c>
      <c r="S348" s="915">
        <f>'사. 임직원보수 일람표'!F33</f>
        <v>4</v>
      </c>
      <c r="T348" s="916" t="s">
        <v>345</v>
      </c>
      <c r="U348" s="917">
        <f t="shared" si="24"/>
        <v>3062400</v>
      </c>
      <c r="Y348" s="544"/>
      <c r="Z348" s="544"/>
      <c r="AA348" s="544"/>
      <c r="AE348" s="1054"/>
    </row>
    <row r="349" spans="1:31" ht="21.75" hidden="1" customHeight="1" x14ac:dyDescent="0.15">
      <c r="A349" s="569"/>
      <c r="B349" s="570"/>
      <c r="C349" s="570"/>
      <c r="D349" s="571"/>
      <c r="E349" s="572"/>
      <c r="F349" s="573"/>
      <c r="G349" s="942"/>
      <c r="H349" s="602"/>
      <c r="I349" s="574"/>
      <c r="J349" s="574"/>
      <c r="K349" s="955"/>
      <c r="L349" s="1217" t="s">
        <v>680</v>
      </c>
      <c r="M349" s="910"/>
      <c r="N349" s="910" t="s">
        <v>683</v>
      </c>
      <c r="O349" s="911">
        <f>'사. 임직원보수 일람표'!L34</f>
        <v>19590</v>
      </c>
      <c r="P349" s="913" t="s">
        <v>724</v>
      </c>
      <c r="Q349" s="923">
        <v>40</v>
      </c>
      <c r="R349" s="913" t="s">
        <v>724</v>
      </c>
      <c r="S349" s="915">
        <f>'사. 임직원보수 일람표'!F34</f>
        <v>8</v>
      </c>
      <c r="T349" s="916" t="s">
        <v>345</v>
      </c>
      <c r="U349" s="917">
        <f t="shared" si="24"/>
        <v>6268800</v>
      </c>
      <c r="Y349" s="544"/>
      <c r="Z349" s="544"/>
      <c r="AA349" s="544"/>
      <c r="AE349" s="1054"/>
    </row>
    <row r="350" spans="1:31" ht="21.75" hidden="1" customHeight="1" x14ac:dyDescent="0.15">
      <c r="A350" s="569"/>
      <c r="B350" s="570"/>
      <c r="C350" s="570"/>
      <c r="D350" s="571"/>
      <c r="E350" s="572"/>
      <c r="F350" s="573"/>
      <c r="G350" s="942"/>
      <c r="H350" s="602"/>
      <c r="I350" s="574"/>
      <c r="J350" s="574"/>
      <c r="K350" s="955"/>
      <c r="L350" s="1217" t="s">
        <v>680</v>
      </c>
      <c r="M350" s="910"/>
      <c r="N350" s="910" t="s">
        <v>684</v>
      </c>
      <c r="O350" s="911">
        <f>'사. 임직원보수 일람표'!L35</f>
        <v>20460</v>
      </c>
      <c r="P350" s="913" t="s">
        <v>724</v>
      </c>
      <c r="Q350" s="923">
        <v>40</v>
      </c>
      <c r="R350" s="913" t="s">
        <v>724</v>
      </c>
      <c r="S350" s="915">
        <f>'사. 임직원보수 일람표'!F35</f>
        <v>11</v>
      </c>
      <c r="T350" s="916" t="s">
        <v>345</v>
      </c>
      <c r="U350" s="917">
        <f t="shared" si="24"/>
        <v>9002400</v>
      </c>
      <c r="Y350" s="544"/>
      <c r="Z350" s="544"/>
      <c r="AA350" s="544"/>
      <c r="AE350" s="1054"/>
    </row>
    <row r="351" spans="1:31" ht="21.75" hidden="1" customHeight="1" x14ac:dyDescent="0.15">
      <c r="A351" s="569"/>
      <c r="B351" s="570"/>
      <c r="C351" s="570"/>
      <c r="D351" s="571"/>
      <c r="E351" s="572"/>
      <c r="F351" s="573"/>
      <c r="G351" s="942"/>
      <c r="H351" s="602"/>
      <c r="I351" s="574"/>
      <c r="J351" s="574"/>
      <c r="K351" s="955"/>
      <c r="L351" s="1217" t="s">
        <v>680</v>
      </c>
      <c r="M351" s="910"/>
      <c r="N351" s="910" t="s">
        <v>684</v>
      </c>
      <c r="O351" s="911">
        <f>'사. 임직원보수 일람표'!L36</f>
        <v>20900</v>
      </c>
      <c r="P351" s="913" t="s">
        <v>724</v>
      </c>
      <c r="Q351" s="923">
        <v>40</v>
      </c>
      <c r="R351" s="913" t="s">
        <v>724</v>
      </c>
      <c r="S351" s="915">
        <f>'사. 임직원보수 일람표'!F36</f>
        <v>1</v>
      </c>
      <c r="T351" s="916" t="s">
        <v>345</v>
      </c>
      <c r="U351" s="917">
        <f t="shared" si="24"/>
        <v>836000</v>
      </c>
      <c r="Y351" s="544"/>
      <c r="Z351" s="544"/>
      <c r="AA351" s="544"/>
      <c r="AE351" s="1054"/>
    </row>
    <row r="352" spans="1:31" ht="21.75" hidden="1" customHeight="1" x14ac:dyDescent="0.15">
      <c r="A352" s="569"/>
      <c r="B352" s="570"/>
      <c r="C352" s="570"/>
      <c r="D352" s="571"/>
      <c r="E352" s="572"/>
      <c r="F352" s="573"/>
      <c r="G352" s="942"/>
      <c r="H352" s="602"/>
      <c r="I352" s="574"/>
      <c r="J352" s="574"/>
      <c r="K352" s="955"/>
      <c r="L352" s="1217" t="s">
        <v>680</v>
      </c>
      <c r="M352" s="910" t="s">
        <v>663</v>
      </c>
      <c r="N352" s="910" t="s">
        <v>685</v>
      </c>
      <c r="O352" s="911">
        <f>'사. 임직원보수 일람표'!L37</f>
        <v>20900</v>
      </c>
      <c r="P352" s="913" t="s">
        <v>724</v>
      </c>
      <c r="Q352" s="923">
        <v>20</v>
      </c>
      <c r="R352" s="913" t="s">
        <v>724</v>
      </c>
      <c r="S352" s="915">
        <f>'사. 임직원보수 일람표'!F37</f>
        <v>10</v>
      </c>
      <c r="T352" s="916" t="s">
        <v>345</v>
      </c>
      <c r="U352" s="917">
        <f t="shared" si="24"/>
        <v>4180000</v>
      </c>
      <c r="Y352" s="544"/>
      <c r="Z352" s="544"/>
      <c r="AA352" s="544"/>
      <c r="AE352" s="1054"/>
    </row>
    <row r="353" spans="1:31" ht="21.75" hidden="1" customHeight="1" x14ac:dyDescent="0.15">
      <c r="A353" s="569"/>
      <c r="B353" s="570"/>
      <c r="C353" s="570"/>
      <c r="D353" s="571"/>
      <c r="E353" s="572"/>
      <c r="F353" s="573"/>
      <c r="G353" s="942"/>
      <c r="H353" s="602"/>
      <c r="I353" s="574"/>
      <c r="J353" s="574"/>
      <c r="K353" s="955"/>
      <c r="L353" s="1217" t="s">
        <v>680</v>
      </c>
      <c r="M353" s="910" t="s">
        <v>663</v>
      </c>
      <c r="N353" s="910" t="s">
        <v>685</v>
      </c>
      <c r="O353" s="911">
        <f>'사. 임직원보수 일람표'!L38</f>
        <v>21320</v>
      </c>
      <c r="P353" s="913" t="s">
        <v>724</v>
      </c>
      <c r="Q353" s="923">
        <v>20</v>
      </c>
      <c r="R353" s="913" t="s">
        <v>724</v>
      </c>
      <c r="S353" s="915">
        <f>'사. 임직원보수 일람표'!F38</f>
        <v>2</v>
      </c>
      <c r="T353" s="916" t="s">
        <v>345</v>
      </c>
      <c r="U353" s="917">
        <f t="shared" si="24"/>
        <v>852800</v>
      </c>
      <c r="Y353" s="544"/>
      <c r="Z353" s="544"/>
      <c r="AA353" s="544"/>
      <c r="AE353" s="1054"/>
    </row>
    <row r="354" spans="1:31" ht="21.75" hidden="1" customHeight="1" x14ac:dyDescent="0.15">
      <c r="A354" s="569"/>
      <c r="B354" s="570"/>
      <c r="C354" s="570"/>
      <c r="D354" s="571"/>
      <c r="E354" s="572"/>
      <c r="F354" s="573"/>
      <c r="G354" s="942"/>
      <c r="H354" s="602"/>
      <c r="I354" s="574"/>
      <c r="J354" s="574"/>
      <c r="K354" s="955"/>
      <c r="L354" s="1217" t="s">
        <v>680</v>
      </c>
      <c r="M354" s="910" t="s">
        <v>663</v>
      </c>
      <c r="N354" s="910" t="s">
        <v>686</v>
      </c>
      <c r="O354" s="911">
        <f>'사. 임직원보수 일람표'!L39</f>
        <v>19590</v>
      </c>
      <c r="P354" s="913" t="s">
        <v>724</v>
      </c>
      <c r="Q354" s="923">
        <v>20</v>
      </c>
      <c r="R354" s="913" t="s">
        <v>724</v>
      </c>
      <c r="S354" s="915">
        <f>'사. 임직원보수 일람표'!F39</f>
        <v>4</v>
      </c>
      <c r="T354" s="916" t="s">
        <v>345</v>
      </c>
      <c r="U354" s="917">
        <f t="shared" si="24"/>
        <v>1567200</v>
      </c>
      <c r="Y354" s="544"/>
      <c r="Z354" s="544"/>
      <c r="AA354" s="544"/>
      <c r="AE354" s="1054"/>
    </row>
    <row r="355" spans="1:31" ht="21.75" hidden="1" customHeight="1" x14ac:dyDescent="0.15">
      <c r="A355" s="569"/>
      <c r="B355" s="570"/>
      <c r="C355" s="570"/>
      <c r="D355" s="571"/>
      <c r="E355" s="572"/>
      <c r="F355" s="573"/>
      <c r="G355" s="942"/>
      <c r="H355" s="602"/>
      <c r="I355" s="574"/>
      <c r="J355" s="574"/>
      <c r="K355" s="955"/>
      <c r="L355" s="1217" t="s">
        <v>680</v>
      </c>
      <c r="M355" s="910" t="s">
        <v>663</v>
      </c>
      <c r="N355" s="910" t="s">
        <v>686</v>
      </c>
      <c r="O355" s="911">
        <f>'사. 임직원보수 일람표'!L40</f>
        <v>20020</v>
      </c>
      <c r="P355" s="913" t="s">
        <v>724</v>
      </c>
      <c r="Q355" s="923">
        <v>20</v>
      </c>
      <c r="R355" s="913" t="s">
        <v>724</v>
      </c>
      <c r="S355" s="915">
        <f>'사. 임직원보수 일람표'!F40</f>
        <v>8</v>
      </c>
      <c r="T355" s="916" t="s">
        <v>345</v>
      </c>
      <c r="U355" s="917">
        <f t="shared" si="24"/>
        <v>3203200</v>
      </c>
      <c r="Y355" s="544"/>
      <c r="Z355" s="544"/>
      <c r="AA355" s="544"/>
      <c r="AE355" s="1054"/>
    </row>
    <row r="356" spans="1:31" ht="21.75" hidden="1" customHeight="1" x14ac:dyDescent="0.15">
      <c r="A356" s="569"/>
      <c r="B356" s="570"/>
      <c r="C356" s="570"/>
      <c r="D356" s="571"/>
      <c r="E356" s="572"/>
      <c r="F356" s="573"/>
      <c r="G356" s="942"/>
      <c r="H356" s="602"/>
      <c r="I356" s="574"/>
      <c r="J356" s="574"/>
      <c r="K356" s="955"/>
      <c r="L356" s="1217" t="s">
        <v>680</v>
      </c>
      <c r="M356" s="910" t="s">
        <v>663</v>
      </c>
      <c r="N356" s="910" t="s">
        <v>687</v>
      </c>
      <c r="O356" s="911">
        <f>'사. 임직원보수 일람표'!L41</f>
        <v>18780</v>
      </c>
      <c r="P356" s="913" t="s">
        <v>724</v>
      </c>
      <c r="Q356" s="923">
        <v>20</v>
      </c>
      <c r="R356" s="913" t="s">
        <v>724</v>
      </c>
      <c r="S356" s="915">
        <f>'사. 임직원보수 일람표'!F41</f>
        <v>3</v>
      </c>
      <c r="T356" s="916" t="s">
        <v>345</v>
      </c>
      <c r="U356" s="917">
        <f t="shared" si="24"/>
        <v>1126800</v>
      </c>
      <c r="Y356" s="544"/>
      <c r="Z356" s="544"/>
      <c r="AA356" s="544"/>
      <c r="AE356" s="1054"/>
    </row>
    <row r="357" spans="1:31" ht="21.75" hidden="1" customHeight="1" x14ac:dyDescent="0.15">
      <c r="A357" s="569"/>
      <c r="B357" s="570"/>
      <c r="C357" s="570"/>
      <c r="D357" s="571"/>
      <c r="E357" s="572"/>
      <c r="F357" s="573"/>
      <c r="G357" s="942"/>
      <c r="H357" s="602"/>
      <c r="I357" s="574"/>
      <c r="J357" s="574"/>
      <c r="K357" s="955"/>
      <c r="L357" s="1217" t="s">
        <v>680</v>
      </c>
      <c r="M357" s="910" t="s">
        <v>663</v>
      </c>
      <c r="N357" s="910" t="s">
        <v>687</v>
      </c>
      <c r="O357" s="911">
        <f>'사. 임직원보수 일람표'!L42</f>
        <v>19140</v>
      </c>
      <c r="P357" s="913" t="s">
        <v>724</v>
      </c>
      <c r="Q357" s="923">
        <v>20</v>
      </c>
      <c r="R357" s="913" t="s">
        <v>724</v>
      </c>
      <c r="S357" s="915">
        <f>'사. 임직원보수 일람표'!F42</f>
        <v>9</v>
      </c>
      <c r="T357" s="916" t="s">
        <v>345</v>
      </c>
      <c r="U357" s="917">
        <f t="shared" si="24"/>
        <v>3445200</v>
      </c>
      <c r="Y357" s="544"/>
      <c r="Z357" s="544"/>
      <c r="AA357" s="544"/>
      <c r="AE357" s="1054"/>
    </row>
    <row r="358" spans="1:31" ht="21.75" hidden="1" customHeight="1" x14ac:dyDescent="0.15">
      <c r="A358" s="569"/>
      <c r="B358" s="570"/>
      <c r="C358" s="570"/>
      <c r="D358" s="571"/>
      <c r="E358" s="572"/>
      <c r="F358" s="573"/>
      <c r="G358" s="942"/>
      <c r="H358" s="602"/>
      <c r="I358" s="574"/>
      <c r="J358" s="574"/>
      <c r="K358" s="955"/>
      <c r="L358" s="1217" t="s">
        <v>680</v>
      </c>
      <c r="M358" s="910"/>
      <c r="N358" s="910" t="s">
        <v>689</v>
      </c>
      <c r="O358" s="911">
        <f>'사. 임직원보수 일람표'!L43</f>
        <v>19140</v>
      </c>
      <c r="P358" s="913" t="s">
        <v>724</v>
      </c>
      <c r="Q358" s="923">
        <v>20</v>
      </c>
      <c r="R358" s="913" t="s">
        <v>724</v>
      </c>
      <c r="S358" s="915">
        <f>'사. 임직원보수 일람표'!F43</f>
        <v>2</v>
      </c>
      <c r="T358" s="916" t="s">
        <v>345</v>
      </c>
      <c r="U358" s="917">
        <f t="shared" si="24"/>
        <v>765600</v>
      </c>
      <c r="Y358" s="544"/>
      <c r="Z358" s="544"/>
      <c r="AA358" s="544"/>
      <c r="AE358" s="1054"/>
    </row>
    <row r="359" spans="1:31" ht="21.75" hidden="1" customHeight="1" x14ac:dyDescent="0.15">
      <c r="A359" s="569"/>
      <c r="B359" s="570"/>
      <c r="C359" s="570"/>
      <c r="D359" s="571"/>
      <c r="E359" s="572"/>
      <c r="F359" s="573"/>
      <c r="G359" s="942"/>
      <c r="H359" s="602"/>
      <c r="I359" s="574"/>
      <c r="J359" s="574"/>
      <c r="K359" s="955"/>
      <c r="L359" s="1217" t="s">
        <v>680</v>
      </c>
      <c r="M359" s="910"/>
      <c r="N359" s="910" t="s">
        <v>689</v>
      </c>
      <c r="O359" s="911">
        <f>'사. 임직원보수 일람표'!L44</f>
        <v>19590</v>
      </c>
      <c r="P359" s="913" t="s">
        <v>724</v>
      </c>
      <c r="Q359" s="923">
        <v>20</v>
      </c>
      <c r="R359" s="913" t="s">
        <v>724</v>
      </c>
      <c r="S359" s="915">
        <f>'사. 임직원보수 일람표'!F44</f>
        <v>10</v>
      </c>
      <c r="T359" s="916" t="s">
        <v>345</v>
      </c>
      <c r="U359" s="917">
        <f t="shared" si="24"/>
        <v>3918000</v>
      </c>
      <c r="Y359" s="544"/>
      <c r="Z359" s="544"/>
      <c r="AA359" s="544"/>
      <c r="AE359" s="1054"/>
    </row>
    <row r="360" spans="1:31" ht="21.75" hidden="1" customHeight="1" x14ac:dyDescent="0.15">
      <c r="A360" s="569"/>
      <c r="B360" s="570"/>
      <c r="C360" s="570"/>
      <c r="D360" s="571"/>
      <c r="E360" s="572"/>
      <c r="F360" s="573"/>
      <c r="G360" s="942"/>
      <c r="H360" s="602"/>
      <c r="I360" s="574"/>
      <c r="J360" s="574"/>
      <c r="K360" s="955"/>
      <c r="L360" s="1217" t="s">
        <v>680</v>
      </c>
      <c r="M360" s="910"/>
      <c r="N360" s="910" t="s">
        <v>690</v>
      </c>
      <c r="O360" s="911">
        <f>'사. 임직원보수 일람표'!L45</f>
        <v>19590</v>
      </c>
      <c r="P360" s="913" t="s">
        <v>724</v>
      </c>
      <c r="Q360" s="923">
        <v>20</v>
      </c>
      <c r="R360" s="913" t="s">
        <v>724</v>
      </c>
      <c r="S360" s="915">
        <f>'사. 임직원보수 일람표'!F45</f>
        <v>5</v>
      </c>
      <c r="T360" s="916" t="s">
        <v>345</v>
      </c>
      <c r="U360" s="917">
        <f t="shared" si="24"/>
        <v>1959000</v>
      </c>
      <c r="Y360" s="544"/>
      <c r="Z360" s="544"/>
      <c r="AA360" s="544"/>
      <c r="AE360" s="1054"/>
    </row>
    <row r="361" spans="1:31" ht="21.75" hidden="1" customHeight="1" x14ac:dyDescent="0.15">
      <c r="A361" s="569"/>
      <c r="B361" s="570"/>
      <c r="C361" s="570"/>
      <c r="D361" s="571"/>
      <c r="E361" s="572"/>
      <c r="F361" s="573"/>
      <c r="G361" s="942"/>
      <c r="H361" s="602"/>
      <c r="I361" s="574"/>
      <c r="J361" s="574"/>
      <c r="K361" s="955"/>
      <c r="L361" s="1217" t="s">
        <v>680</v>
      </c>
      <c r="M361" s="910"/>
      <c r="N361" s="910" t="s">
        <v>690</v>
      </c>
      <c r="O361" s="911">
        <f>'사. 임직원보수 일람표'!L46</f>
        <v>20020</v>
      </c>
      <c r="P361" s="913" t="s">
        <v>724</v>
      </c>
      <c r="Q361" s="923">
        <v>20</v>
      </c>
      <c r="R361" s="913" t="s">
        <v>724</v>
      </c>
      <c r="S361" s="915">
        <f>'사. 임직원보수 일람표'!F46</f>
        <v>7</v>
      </c>
      <c r="T361" s="916" t="s">
        <v>345</v>
      </c>
      <c r="U361" s="917">
        <f t="shared" si="24"/>
        <v>2802800</v>
      </c>
      <c r="Y361" s="544"/>
      <c r="Z361" s="544"/>
      <c r="AA361" s="544"/>
      <c r="AE361" s="1054"/>
    </row>
    <row r="362" spans="1:31" ht="21.75" hidden="1" customHeight="1" x14ac:dyDescent="0.15">
      <c r="A362" s="569"/>
      <c r="B362" s="570"/>
      <c r="C362" s="570"/>
      <c r="D362" s="571"/>
      <c r="E362" s="572"/>
      <c r="F362" s="573"/>
      <c r="G362" s="942"/>
      <c r="H362" s="602"/>
      <c r="I362" s="574"/>
      <c r="J362" s="574"/>
      <c r="K362" s="955"/>
      <c r="L362" s="1217" t="s">
        <v>680</v>
      </c>
      <c r="M362" s="910"/>
      <c r="N362" s="910" t="s">
        <v>691</v>
      </c>
      <c r="O362" s="911">
        <f>'사. 임직원보수 일람표'!L47</f>
        <v>18780</v>
      </c>
      <c r="P362" s="913" t="s">
        <v>724</v>
      </c>
      <c r="Q362" s="923">
        <v>20</v>
      </c>
      <c r="R362" s="913" t="s">
        <v>724</v>
      </c>
      <c r="S362" s="915">
        <f>'사. 임직원보수 일람표'!F47</f>
        <v>6</v>
      </c>
      <c r="T362" s="916" t="s">
        <v>345</v>
      </c>
      <c r="U362" s="917">
        <f t="shared" si="24"/>
        <v>2253600</v>
      </c>
      <c r="Y362" s="544"/>
      <c r="Z362" s="544"/>
      <c r="AA362" s="544"/>
      <c r="AE362" s="1054"/>
    </row>
    <row r="363" spans="1:31" ht="21.75" hidden="1" customHeight="1" x14ac:dyDescent="0.15">
      <c r="A363" s="569"/>
      <c r="B363" s="570"/>
      <c r="C363" s="570"/>
      <c r="D363" s="571"/>
      <c r="E363" s="572"/>
      <c r="F363" s="573"/>
      <c r="G363" s="942"/>
      <c r="H363" s="602"/>
      <c r="I363" s="574"/>
      <c r="J363" s="574"/>
      <c r="K363" s="955"/>
      <c r="L363" s="1217" t="s">
        <v>680</v>
      </c>
      <c r="M363" s="910"/>
      <c r="N363" s="910" t="s">
        <v>691</v>
      </c>
      <c r="O363" s="911">
        <f>'사. 임직원보수 일람표'!L48</f>
        <v>19140</v>
      </c>
      <c r="P363" s="913" t="s">
        <v>724</v>
      </c>
      <c r="Q363" s="923">
        <v>20</v>
      </c>
      <c r="R363" s="913" t="s">
        <v>724</v>
      </c>
      <c r="S363" s="915">
        <f>'사. 임직원보수 일람표'!F48</f>
        <v>6</v>
      </c>
      <c r="T363" s="916" t="s">
        <v>345</v>
      </c>
      <c r="U363" s="917">
        <f t="shared" si="24"/>
        <v>2296800</v>
      </c>
      <c r="Y363" s="544"/>
      <c r="Z363" s="544"/>
      <c r="AA363" s="544"/>
      <c r="AE363" s="1054"/>
    </row>
    <row r="364" spans="1:31" ht="21.75" hidden="1" customHeight="1" x14ac:dyDescent="0.15">
      <c r="A364" s="569"/>
      <c r="B364" s="570"/>
      <c r="C364" s="570"/>
      <c r="D364" s="571"/>
      <c r="E364" s="572"/>
      <c r="F364" s="573"/>
      <c r="G364" s="942"/>
      <c r="H364" s="602"/>
      <c r="I364" s="574"/>
      <c r="J364" s="574"/>
      <c r="K364" s="955"/>
      <c r="L364" s="1217" t="s">
        <v>680</v>
      </c>
      <c r="M364" s="910"/>
      <c r="N364" s="910" t="s">
        <v>692</v>
      </c>
      <c r="O364" s="911">
        <f>'사. 임직원보수 일람표'!L49</f>
        <v>17780</v>
      </c>
      <c r="P364" s="913" t="s">
        <v>724</v>
      </c>
      <c r="Q364" s="923">
        <v>40</v>
      </c>
      <c r="R364" s="913" t="s">
        <v>724</v>
      </c>
      <c r="S364" s="915">
        <f>'사. 임직원보수 일람표'!F49</f>
        <v>6</v>
      </c>
      <c r="T364" s="916" t="s">
        <v>345</v>
      </c>
      <c r="U364" s="917">
        <f t="shared" si="24"/>
        <v>4267200</v>
      </c>
      <c r="Y364" s="544"/>
      <c r="Z364" s="544"/>
      <c r="AA364" s="544"/>
      <c r="AE364" s="1054"/>
    </row>
    <row r="365" spans="1:31" ht="21.75" hidden="1" customHeight="1" x14ac:dyDescent="0.15">
      <c r="A365" s="569"/>
      <c r="B365" s="570"/>
      <c r="C365" s="570"/>
      <c r="D365" s="571"/>
      <c r="E365" s="572"/>
      <c r="F365" s="573"/>
      <c r="G365" s="942"/>
      <c r="H365" s="602"/>
      <c r="I365" s="574"/>
      <c r="J365" s="574"/>
      <c r="K365" s="955"/>
      <c r="L365" s="1217" t="s">
        <v>680</v>
      </c>
      <c r="M365" s="910"/>
      <c r="N365" s="910" t="s">
        <v>692</v>
      </c>
      <c r="O365" s="911">
        <f>'사. 임직원보수 일람표'!L50</f>
        <v>18340</v>
      </c>
      <c r="P365" s="913" t="s">
        <v>724</v>
      </c>
      <c r="Q365" s="923">
        <v>40</v>
      </c>
      <c r="R365" s="913" t="s">
        <v>724</v>
      </c>
      <c r="S365" s="915">
        <f>'사. 임직원보수 일람표'!F50</f>
        <v>6</v>
      </c>
      <c r="T365" s="916" t="s">
        <v>345</v>
      </c>
      <c r="U365" s="917">
        <f t="shared" si="24"/>
        <v>4401600</v>
      </c>
      <c r="Y365" s="544"/>
      <c r="Z365" s="544"/>
      <c r="AA365" s="544"/>
      <c r="AE365" s="1054"/>
    </row>
    <row r="366" spans="1:31" ht="21.75" hidden="1" customHeight="1" x14ac:dyDescent="0.15">
      <c r="A366" s="569"/>
      <c r="B366" s="570"/>
      <c r="C366" s="570"/>
      <c r="D366" s="571"/>
      <c r="E366" s="572"/>
      <c r="F366" s="573"/>
      <c r="G366" s="942"/>
      <c r="H366" s="602"/>
      <c r="I366" s="574"/>
      <c r="J366" s="574"/>
      <c r="K366" s="955"/>
      <c r="L366" s="1217" t="s">
        <v>680</v>
      </c>
      <c r="M366" s="910"/>
      <c r="N366" s="910" t="s">
        <v>693</v>
      </c>
      <c r="O366" s="911">
        <f>'사. 임직원보수 일람표'!L51</f>
        <v>16580</v>
      </c>
      <c r="P366" s="913" t="s">
        <v>724</v>
      </c>
      <c r="Q366" s="923">
        <v>40</v>
      </c>
      <c r="R366" s="913" t="s">
        <v>724</v>
      </c>
      <c r="S366" s="915">
        <f>'사. 임직원보수 일람표'!F51</f>
        <v>4</v>
      </c>
      <c r="T366" s="916" t="s">
        <v>345</v>
      </c>
      <c r="U366" s="917">
        <f t="shared" si="24"/>
        <v>2652800</v>
      </c>
      <c r="Y366" s="544"/>
      <c r="Z366" s="544"/>
      <c r="AA366" s="544"/>
      <c r="AE366" s="1054"/>
    </row>
    <row r="367" spans="1:31" ht="21.75" hidden="1" customHeight="1" x14ac:dyDescent="0.15">
      <c r="A367" s="569"/>
      <c r="B367" s="570"/>
      <c r="C367" s="570"/>
      <c r="D367" s="571"/>
      <c r="E367" s="572"/>
      <c r="F367" s="573"/>
      <c r="G367" s="942"/>
      <c r="H367" s="602"/>
      <c r="I367" s="574"/>
      <c r="J367" s="574"/>
      <c r="K367" s="955"/>
      <c r="L367" s="1217" t="s">
        <v>680</v>
      </c>
      <c r="M367" s="910"/>
      <c r="N367" s="910" t="s">
        <v>693</v>
      </c>
      <c r="O367" s="911">
        <f>'사. 임직원보수 일람표'!L52</f>
        <v>17200</v>
      </c>
      <c r="P367" s="913" t="s">
        <v>724</v>
      </c>
      <c r="Q367" s="923">
        <v>40</v>
      </c>
      <c r="R367" s="913" t="s">
        <v>724</v>
      </c>
      <c r="S367" s="915">
        <f>'사. 임직원보수 일람표'!F52</f>
        <v>8</v>
      </c>
      <c r="T367" s="916" t="s">
        <v>345</v>
      </c>
      <c r="U367" s="917">
        <f t="shared" si="24"/>
        <v>5504000</v>
      </c>
      <c r="Y367" s="544"/>
      <c r="Z367" s="544"/>
      <c r="AA367" s="544"/>
      <c r="AE367" s="1054"/>
    </row>
    <row r="368" spans="1:31" ht="21.75" hidden="1" customHeight="1" x14ac:dyDescent="0.15">
      <c r="A368" s="569"/>
      <c r="B368" s="570"/>
      <c r="C368" s="570"/>
      <c r="D368" s="571"/>
      <c r="E368" s="572"/>
      <c r="F368" s="573"/>
      <c r="G368" s="942"/>
      <c r="H368" s="602"/>
      <c r="I368" s="574"/>
      <c r="J368" s="574"/>
      <c r="K368" s="955"/>
      <c r="L368" s="1217" t="s">
        <v>680</v>
      </c>
      <c r="M368" s="910"/>
      <c r="N368" s="910" t="s">
        <v>694</v>
      </c>
      <c r="O368" s="911">
        <f>'사. 임직원보수 일람표'!L53</f>
        <v>16030</v>
      </c>
      <c r="P368" s="913" t="s">
        <v>724</v>
      </c>
      <c r="Q368" s="923">
        <v>40</v>
      </c>
      <c r="R368" s="913" t="s">
        <v>724</v>
      </c>
      <c r="S368" s="915">
        <f>'사. 임직원보수 일람표'!F53</f>
        <v>9</v>
      </c>
      <c r="T368" s="916" t="s">
        <v>345</v>
      </c>
      <c r="U368" s="917">
        <f t="shared" si="24"/>
        <v>5770800</v>
      </c>
      <c r="Y368" s="544"/>
      <c r="Z368" s="544"/>
      <c r="AA368" s="544"/>
      <c r="AE368" s="1054"/>
    </row>
    <row r="369" spans="1:31" ht="21.75" hidden="1" customHeight="1" x14ac:dyDescent="0.15">
      <c r="A369" s="569"/>
      <c r="B369" s="570"/>
      <c r="C369" s="570"/>
      <c r="D369" s="571"/>
      <c r="E369" s="572"/>
      <c r="F369" s="573"/>
      <c r="G369" s="942"/>
      <c r="H369" s="602"/>
      <c r="I369" s="574"/>
      <c r="J369" s="574"/>
      <c r="K369" s="955"/>
      <c r="L369" s="1217" t="s">
        <v>680</v>
      </c>
      <c r="M369" s="910"/>
      <c r="N369" s="910" t="s">
        <v>694</v>
      </c>
      <c r="O369" s="911">
        <f>'사. 임직원보수 일람표'!L54</f>
        <v>16580</v>
      </c>
      <c r="P369" s="913" t="s">
        <v>724</v>
      </c>
      <c r="Q369" s="923">
        <v>40</v>
      </c>
      <c r="R369" s="913" t="s">
        <v>724</v>
      </c>
      <c r="S369" s="915">
        <f>'사. 임직원보수 일람표'!F54</f>
        <v>3</v>
      </c>
      <c r="T369" s="916" t="s">
        <v>345</v>
      </c>
      <c r="U369" s="917">
        <f t="shared" si="24"/>
        <v>1989600</v>
      </c>
      <c r="Y369" s="544"/>
      <c r="Z369" s="544"/>
      <c r="AA369" s="544"/>
      <c r="AE369" s="1054"/>
    </row>
    <row r="370" spans="1:31" ht="21.75" hidden="1" customHeight="1" x14ac:dyDescent="0.15">
      <c r="A370" s="569"/>
      <c r="B370" s="570"/>
      <c r="C370" s="570"/>
      <c r="D370" s="571"/>
      <c r="E370" s="572"/>
      <c r="F370" s="573"/>
      <c r="G370" s="942"/>
      <c r="H370" s="602"/>
      <c r="I370" s="574"/>
      <c r="J370" s="574"/>
      <c r="K370" s="955"/>
      <c r="L370" s="1217" t="s">
        <v>680</v>
      </c>
      <c r="M370" s="910"/>
      <c r="N370" s="910" t="s">
        <v>695</v>
      </c>
      <c r="O370" s="911">
        <f>'사. 임직원보수 일람표'!L55</f>
        <v>16580</v>
      </c>
      <c r="P370" s="913" t="s">
        <v>724</v>
      </c>
      <c r="Q370" s="923">
        <v>40</v>
      </c>
      <c r="R370" s="913" t="s">
        <v>724</v>
      </c>
      <c r="S370" s="915">
        <f>'사. 임직원보수 일람표'!F55</f>
        <v>4</v>
      </c>
      <c r="T370" s="916" t="s">
        <v>345</v>
      </c>
      <c r="U370" s="917">
        <f t="shared" si="24"/>
        <v>2652800</v>
      </c>
      <c r="Y370" s="544"/>
      <c r="Z370" s="544"/>
      <c r="AA370" s="544"/>
      <c r="AE370" s="1054"/>
    </row>
    <row r="371" spans="1:31" ht="21.75" hidden="1" customHeight="1" x14ac:dyDescent="0.15">
      <c r="A371" s="569"/>
      <c r="B371" s="570"/>
      <c r="C371" s="570"/>
      <c r="D371" s="571"/>
      <c r="E371" s="572"/>
      <c r="F371" s="573"/>
      <c r="G371" s="942"/>
      <c r="H371" s="602"/>
      <c r="I371" s="574"/>
      <c r="J371" s="574"/>
      <c r="K371" s="955"/>
      <c r="L371" s="1217" t="s">
        <v>680</v>
      </c>
      <c r="M371" s="910"/>
      <c r="N371" s="910" t="s">
        <v>695</v>
      </c>
      <c r="O371" s="911">
        <f>'사. 임직원보수 일람표'!L56</f>
        <v>17200</v>
      </c>
      <c r="P371" s="913" t="s">
        <v>724</v>
      </c>
      <c r="Q371" s="923">
        <v>40</v>
      </c>
      <c r="R371" s="913" t="s">
        <v>724</v>
      </c>
      <c r="S371" s="915">
        <f>'사. 임직원보수 일람표'!F56</f>
        <v>8</v>
      </c>
      <c r="T371" s="916" t="s">
        <v>345</v>
      </c>
      <c r="U371" s="917">
        <f t="shared" si="24"/>
        <v>5504000</v>
      </c>
      <c r="Y371" s="544"/>
      <c r="Z371" s="544"/>
      <c r="AA371" s="544"/>
      <c r="AE371" s="1054"/>
    </row>
    <row r="372" spans="1:31" ht="21.75" hidden="1" customHeight="1" x14ac:dyDescent="0.15">
      <c r="A372" s="569"/>
      <c r="B372" s="570"/>
      <c r="C372" s="570"/>
      <c r="D372" s="571"/>
      <c r="E372" s="572"/>
      <c r="F372" s="573"/>
      <c r="G372" s="942"/>
      <c r="H372" s="602"/>
      <c r="I372" s="574"/>
      <c r="J372" s="574"/>
      <c r="K372" s="955"/>
      <c r="L372" s="1217" t="s">
        <v>680</v>
      </c>
      <c r="M372" s="910"/>
      <c r="N372" s="910" t="s">
        <v>1265</v>
      </c>
      <c r="O372" s="911">
        <f>'사. 임직원보수 일람표'!L57</f>
        <v>17780</v>
      </c>
      <c r="P372" s="913" t="s">
        <v>724</v>
      </c>
      <c r="Q372" s="923">
        <v>40</v>
      </c>
      <c r="R372" s="913" t="s">
        <v>724</v>
      </c>
      <c r="S372" s="915">
        <f>'사. 임직원보수 일람표'!F57</f>
        <v>12</v>
      </c>
      <c r="T372" s="916" t="s">
        <v>345</v>
      </c>
      <c r="U372" s="917">
        <f t="shared" si="24"/>
        <v>8534400</v>
      </c>
      <c r="Y372" s="544"/>
      <c r="Z372" s="544"/>
      <c r="AA372" s="544"/>
      <c r="AE372" s="1054"/>
    </row>
    <row r="373" spans="1:31" ht="21.75" hidden="1" customHeight="1" x14ac:dyDescent="0.15">
      <c r="A373" s="569"/>
      <c r="B373" s="570"/>
      <c r="C373" s="570"/>
      <c r="D373" s="571"/>
      <c r="E373" s="572"/>
      <c r="F373" s="573"/>
      <c r="G373" s="942"/>
      <c r="H373" s="602"/>
      <c r="I373" s="574"/>
      <c r="J373" s="574"/>
      <c r="K373" s="955"/>
      <c r="L373" s="1217" t="s">
        <v>680</v>
      </c>
      <c r="M373" s="910"/>
      <c r="N373" s="910" t="s">
        <v>696</v>
      </c>
      <c r="O373" s="911">
        <f>'사. 임직원보수 일람표'!L58</f>
        <v>0</v>
      </c>
      <c r="P373" s="913" t="s">
        <v>724</v>
      </c>
      <c r="Q373" s="923">
        <v>40</v>
      </c>
      <c r="R373" s="913" t="s">
        <v>724</v>
      </c>
      <c r="S373" s="915">
        <f>'사. 임직원보수 일람표'!F58</f>
        <v>0</v>
      </c>
      <c r="T373" s="916" t="s">
        <v>345</v>
      </c>
      <c r="U373" s="917">
        <f t="shared" si="24"/>
        <v>0</v>
      </c>
      <c r="Y373" s="544"/>
      <c r="Z373" s="544"/>
      <c r="AA373" s="544"/>
      <c r="AE373" s="1054"/>
    </row>
    <row r="374" spans="1:31" ht="21.75" hidden="1" customHeight="1" x14ac:dyDescent="0.15">
      <c r="A374" s="569"/>
      <c r="B374" s="570"/>
      <c r="C374" s="570"/>
      <c r="D374" s="571"/>
      <c r="E374" s="572"/>
      <c r="F374" s="573"/>
      <c r="G374" s="942"/>
      <c r="H374" s="602"/>
      <c r="I374" s="574"/>
      <c r="J374" s="574"/>
      <c r="K374" s="955"/>
      <c r="L374" s="1217" t="s">
        <v>680</v>
      </c>
      <c r="M374" s="910"/>
      <c r="N374" s="910" t="s">
        <v>1266</v>
      </c>
      <c r="O374" s="911">
        <f>'사. 임직원보수 일람표'!L59</f>
        <v>15060</v>
      </c>
      <c r="P374" s="913" t="s">
        <v>724</v>
      </c>
      <c r="Q374" s="923">
        <v>40</v>
      </c>
      <c r="R374" s="913" t="s">
        <v>724</v>
      </c>
      <c r="S374" s="915">
        <f>'사. 임직원보수 일람표'!F59</f>
        <v>5</v>
      </c>
      <c r="T374" s="916" t="s">
        <v>345</v>
      </c>
      <c r="U374" s="917">
        <f t="shared" si="24"/>
        <v>3012000</v>
      </c>
      <c r="Y374" s="544"/>
      <c r="Z374" s="544"/>
      <c r="AA374" s="544"/>
      <c r="AE374" s="1054"/>
    </row>
    <row r="375" spans="1:31" ht="21.75" hidden="1" customHeight="1" x14ac:dyDescent="0.15">
      <c r="A375" s="569"/>
      <c r="B375" s="570"/>
      <c r="C375" s="570"/>
      <c r="D375" s="571"/>
      <c r="E375" s="572"/>
      <c r="F375" s="573"/>
      <c r="G375" s="942"/>
      <c r="H375" s="602"/>
      <c r="I375" s="574"/>
      <c r="J375" s="574"/>
      <c r="K375" s="955"/>
      <c r="L375" s="1217" t="s">
        <v>680</v>
      </c>
      <c r="M375" s="910"/>
      <c r="N375" s="910" t="s">
        <v>1267</v>
      </c>
      <c r="O375" s="911">
        <f>'사. 임직원보수 일람표'!L60</f>
        <v>15530</v>
      </c>
      <c r="P375" s="913" t="s">
        <v>724</v>
      </c>
      <c r="Q375" s="923">
        <v>40</v>
      </c>
      <c r="R375" s="913" t="s">
        <v>724</v>
      </c>
      <c r="S375" s="915">
        <f>'사. 임직원보수 일람표'!F60</f>
        <v>7</v>
      </c>
      <c r="T375" s="916" t="s">
        <v>345</v>
      </c>
      <c r="U375" s="917">
        <f t="shared" si="24"/>
        <v>4348400</v>
      </c>
      <c r="Y375" s="544"/>
      <c r="Z375" s="544"/>
      <c r="AA375" s="544"/>
      <c r="AE375" s="1054"/>
    </row>
    <row r="376" spans="1:31" ht="21.75" hidden="1" customHeight="1" x14ac:dyDescent="0.15">
      <c r="A376" s="569"/>
      <c r="B376" s="570"/>
      <c r="C376" s="570"/>
      <c r="D376" s="571"/>
      <c r="E376" s="572"/>
      <c r="F376" s="573"/>
      <c r="G376" s="942"/>
      <c r="H376" s="602"/>
      <c r="I376" s="574"/>
      <c r="J376" s="574"/>
      <c r="K376" s="955"/>
      <c r="L376" s="1217" t="s">
        <v>680</v>
      </c>
      <c r="M376" s="910"/>
      <c r="N376" s="910" t="s">
        <v>698</v>
      </c>
      <c r="O376" s="911">
        <f>'사. 임직원보수 일람표'!L61</f>
        <v>15060</v>
      </c>
      <c r="P376" s="913" t="s">
        <v>724</v>
      </c>
      <c r="Q376" s="923">
        <v>40</v>
      </c>
      <c r="R376" s="913" t="s">
        <v>724</v>
      </c>
      <c r="S376" s="915">
        <f>'사. 임직원보수 일람표'!F61</f>
        <v>10</v>
      </c>
      <c r="T376" s="916" t="s">
        <v>345</v>
      </c>
      <c r="U376" s="917">
        <f t="shared" si="24"/>
        <v>6024000</v>
      </c>
      <c r="Y376" s="544"/>
      <c r="Z376" s="544"/>
      <c r="AA376" s="544"/>
      <c r="AE376" s="1054"/>
    </row>
    <row r="377" spans="1:31" ht="21.75" hidden="1" customHeight="1" x14ac:dyDescent="0.15">
      <c r="A377" s="569"/>
      <c r="B377" s="570"/>
      <c r="C377" s="570"/>
      <c r="D377" s="571"/>
      <c r="E377" s="572"/>
      <c r="F377" s="573"/>
      <c r="G377" s="942"/>
      <c r="H377" s="602"/>
      <c r="I377" s="574"/>
      <c r="J377" s="574"/>
      <c r="K377" s="955"/>
      <c r="L377" s="1217" t="s">
        <v>680</v>
      </c>
      <c r="M377" s="910"/>
      <c r="N377" s="910" t="s">
        <v>698</v>
      </c>
      <c r="O377" s="911">
        <f>'사. 임직원보수 일람표'!L62</f>
        <v>15530</v>
      </c>
      <c r="P377" s="913" t="s">
        <v>724</v>
      </c>
      <c r="Q377" s="923">
        <v>40</v>
      </c>
      <c r="R377" s="913" t="s">
        <v>724</v>
      </c>
      <c r="S377" s="915">
        <f>'사. 임직원보수 일람표'!F62</f>
        <v>2</v>
      </c>
      <c r="T377" s="916"/>
      <c r="U377" s="917">
        <f t="shared" si="24"/>
        <v>1242400</v>
      </c>
      <c r="Y377" s="544"/>
      <c r="Z377" s="544"/>
      <c r="AA377" s="544"/>
      <c r="AE377" s="1054"/>
    </row>
    <row r="378" spans="1:31" ht="21.75" hidden="1" customHeight="1" x14ac:dyDescent="0.15">
      <c r="A378" s="569"/>
      <c r="B378" s="570"/>
      <c r="C378" s="570"/>
      <c r="D378" s="571"/>
      <c r="E378" s="572"/>
      <c r="F378" s="573"/>
      <c r="G378" s="942"/>
      <c r="H378" s="602"/>
      <c r="I378" s="574"/>
      <c r="J378" s="574"/>
      <c r="K378" s="955"/>
      <c r="L378" s="1217" t="s">
        <v>680</v>
      </c>
      <c r="M378" s="910"/>
      <c r="N378" s="910" t="s">
        <v>699</v>
      </c>
      <c r="O378" s="911">
        <f>'사. 임직원보수 일람표'!L63</f>
        <v>14610</v>
      </c>
      <c r="P378" s="913" t="s">
        <v>724</v>
      </c>
      <c r="Q378" s="923">
        <v>40</v>
      </c>
      <c r="R378" s="913" t="s">
        <v>724</v>
      </c>
      <c r="S378" s="915">
        <f>'사. 임직원보수 일람표'!F63</f>
        <v>2</v>
      </c>
      <c r="T378" s="916" t="s">
        <v>345</v>
      </c>
      <c r="U378" s="917">
        <f t="shared" si="24"/>
        <v>1168800</v>
      </c>
      <c r="Y378" s="544"/>
      <c r="Z378" s="544"/>
      <c r="AA378" s="544"/>
      <c r="AE378" s="1054"/>
    </row>
    <row r="379" spans="1:31" ht="21.75" hidden="1" customHeight="1" x14ac:dyDescent="0.15">
      <c r="A379" s="569"/>
      <c r="B379" s="570"/>
      <c r="C379" s="570"/>
      <c r="D379" s="571"/>
      <c r="E379" s="572"/>
      <c r="F379" s="573"/>
      <c r="G379" s="942"/>
      <c r="H379" s="602"/>
      <c r="I379" s="574"/>
      <c r="J379" s="574"/>
      <c r="K379" s="955"/>
      <c r="L379" s="1217" t="s">
        <v>680</v>
      </c>
      <c r="M379" s="910"/>
      <c r="N379" s="910" t="s">
        <v>699</v>
      </c>
      <c r="O379" s="911">
        <f>'사. 임직원보수 일람표'!L64</f>
        <v>15060</v>
      </c>
      <c r="P379" s="913" t="s">
        <v>724</v>
      </c>
      <c r="Q379" s="923">
        <v>40</v>
      </c>
      <c r="R379" s="913" t="s">
        <v>724</v>
      </c>
      <c r="S379" s="915">
        <f>'사. 임직원보수 일람표'!F64</f>
        <v>10</v>
      </c>
      <c r="T379" s="916" t="s">
        <v>345</v>
      </c>
      <c r="U379" s="917">
        <f t="shared" si="24"/>
        <v>6024000</v>
      </c>
      <c r="Y379" s="544"/>
      <c r="Z379" s="544"/>
      <c r="AA379" s="544"/>
      <c r="AE379" s="1054"/>
    </row>
    <row r="380" spans="1:31" ht="21.75" hidden="1" customHeight="1" x14ac:dyDescent="0.15">
      <c r="A380" s="569"/>
      <c r="B380" s="570"/>
      <c r="C380" s="570"/>
      <c r="D380" s="571"/>
      <c r="E380" s="572"/>
      <c r="F380" s="573"/>
      <c r="G380" s="942"/>
      <c r="H380" s="602"/>
      <c r="I380" s="574"/>
      <c r="J380" s="574"/>
      <c r="K380" s="955"/>
      <c r="L380" s="1217" t="s">
        <v>680</v>
      </c>
      <c r="M380" s="910"/>
      <c r="N380" s="910" t="s">
        <v>700</v>
      </c>
      <c r="O380" s="911">
        <f>'사. 임직원보수 일람표'!L65</f>
        <v>15060</v>
      </c>
      <c r="P380" s="913" t="s">
        <v>724</v>
      </c>
      <c r="Q380" s="923">
        <v>40</v>
      </c>
      <c r="R380" s="913" t="s">
        <v>724</v>
      </c>
      <c r="S380" s="915">
        <f>'사. 임직원보수 일람표'!F65</f>
        <v>1</v>
      </c>
      <c r="T380" s="916" t="s">
        <v>345</v>
      </c>
      <c r="U380" s="917">
        <f t="shared" si="24"/>
        <v>602400</v>
      </c>
      <c r="Y380" s="544"/>
      <c r="Z380" s="544"/>
      <c r="AA380" s="544"/>
      <c r="AE380" s="1054"/>
    </row>
    <row r="381" spans="1:31" ht="21.75" hidden="1" customHeight="1" x14ac:dyDescent="0.15">
      <c r="A381" s="569"/>
      <c r="B381" s="570"/>
      <c r="C381" s="570"/>
      <c r="D381" s="571"/>
      <c r="E381" s="572"/>
      <c r="F381" s="573"/>
      <c r="G381" s="942"/>
      <c r="H381" s="602"/>
      <c r="I381" s="574"/>
      <c r="J381" s="574"/>
      <c r="K381" s="955"/>
      <c r="L381" s="1217" t="s">
        <v>680</v>
      </c>
      <c r="M381" s="910"/>
      <c r="N381" s="910" t="s">
        <v>700</v>
      </c>
      <c r="O381" s="911">
        <f>'사. 임직원보수 일람표'!L66</f>
        <v>15530</v>
      </c>
      <c r="P381" s="913" t="s">
        <v>724</v>
      </c>
      <c r="Q381" s="923">
        <v>40</v>
      </c>
      <c r="R381" s="913" t="s">
        <v>724</v>
      </c>
      <c r="S381" s="915">
        <f>'사. 임직원보수 일람표'!F66</f>
        <v>11</v>
      </c>
      <c r="T381" s="916" t="s">
        <v>345</v>
      </c>
      <c r="U381" s="917">
        <f t="shared" si="24"/>
        <v>6833200</v>
      </c>
      <c r="Y381" s="544"/>
      <c r="Z381" s="544"/>
      <c r="AA381" s="544"/>
      <c r="AE381" s="1054"/>
    </row>
    <row r="382" spans="1:31" ht="21.75" hidden="1" customHeight="1" x14ac:dyDescent="0.15">
      <c r="A382" s="569"/>
      <c r="B382" s="570"/>
      <c r="C382" s="570"/>
      <c r="D382" s="571"/>
      <c r="E382" s="572"/>
      <c r="F382" s="573"/>
      <c r="G382" s="942"/>
      <c r="H382" s="602"/>
      <c r="I382" s="574"/>
      <c r="J382" s="574"/>
      <c r="K382" s="955"/>
      <c r="L382" s="1217" t="s">
        <v>680</v>
      </c>
      <c r="M382" s="910"/>
      <c r="N382" s="910" t="s">
        <v>982</v>
      </c>
      <c r="O382" s="911">
        <f>'사. 임직원보수 일람표'!L67</f>
        <v>15530</v>
      </c>
      <c r="P382" s="913" t="s">
        <v>724</v>
      </c>
      <c r="Q382" s="923">
        <v>40</v>
      </c>
      <c r="R382" s="913" t="s">
        <v>724</v>
      </c>
      <c r="S382" s="915">
        <f>'사. 임직원보수 일람표'!F67</f>
        <v>12</v>
      </c>
      <c r="T382" s="916" t="s">
        <v>345</v>
      </c>
      <c r="U382" s="917">
        <f t="shared" si="24"/>
        <v>7454400</v>
      </c>
      <c r="Y382" s="544"/>
      <c r="Z382" s="544"/>
      <c r="AA382" s="544"/>
      <c r="AE382" s="1054"/>
    </row>
    <row r="383" spans="1:31" ht="21.75" hidden="1" customHeight="1" x14ac:dyDescent="0.15">
      <c r="A383" s="569"/>
      <c r="B383" s="570"/>
      <c r="C383" s="570"/>
      <c r="D383" s="571"/>
      <c r="E383" s="572"/>
      <c r="F383" s="573"/>
      <c r="G383" s="942"/>
      <c r="H383" s="602"/>
      <c r="I383" s="574"/>
      <c r="J383" s="574"/>
      <c r="K383" s="955"/>
      <c r="L383" s="1217" t="s">
        <v>680</v>
      </c>
      <c r="M383" s="910"/>
      <c r="N383" s="910" t="s">
        <v>982</v>
      </c>
      <c r="O383" s="911">
        <f>'사. 임직원보수 일람표'!L68</f>
        <v>0</v>
      </c>
      <c r="P383" s="913" t="s">
        <v>724</v>
      </c>
      <c r="Q383" s="923">
        <v>40</v>
      </c>
      <c r="R383" s="913" t="s">
        <v>724</v>
      </c>
      <c r="S383" s="915">
        <f>'사. 임직원보수 일람표'!F68</f>
        <v>0</v>
      </c>
      <c r="T383" s="916" t="s">
        <v>345</v>
      </c>
      <c r="U383" s="917">
        <f t="shared" si="24"/>
        <v>0</v>
      </c>
      <c r="Y383" s="544"/>
      <c r="Z383" s="544"/>
      <c r="AA383" s="544"/>
      <c r="AE383" s="1054"/>
    </row>
    <row r="384" spans="1:31" ht="21.75" hidden="1" customHeight="1" x14ac:dyDescent="0.15">
      <c r="A384" s="569"/>
      <c r="B384" s="570"/>
      <c r="C384" s="570"/>
      <c r="D384" s="571"/>
      <c r="E384" s="572"/>
      <c r="F384" s="573"/>
      <c r="G384" s="942"/>
      <c r="H384" s="602"/>
      <c r="I384" s="574"/>
      <c r="J384" s="574"/>
      <c r="K384" s="955"/>
      <c r="L384" s="1217" t="s">
        <v>680</v>
      </c>
      <c r="M384" s="910"/>
      <c r="N384" s="910" t="s">
        <v>701</v>
      </c>
      <c r="O384" s="911">
        <f>'사. 임직원보수 일람표'!L69</f>
        <v>15530</v>
      </c>
      <c r="P384" s="913" t="s">
        <v>724</v>
      </c>
      <c r="Q384" s="923">
        <v>40</v>
      </c>
      <c r="R384" s="913" t="s">
        <v>724</v>
      </c>
      <c r="S384" s="915">
        <f>'사. 임직원보수 일람표'!F69</f>
        <v>1</v>
      </c>
      <c r="T384" s="916" t="s">
        <v>345</v>
      </c>
      <c r="U384" s="917">
        <f t="shared" si="24"/>
        <v>621200</v>
      </c>
      <c r="Y384" s="544"/>
      <c r="Z384" s="544"/>
      <c r="AA384" s="544"/>
      <c r="AE384" s="1054"/>
    </row>
    <row r="385" spans="1:31" ht="21.75" hidden="1" customHeight="1" x14ac:dyDescent="0.15">
      <c r="A385" s="569"/>
      <c r="B385" s="570"/>
      <c r="C385" s="570"/>
      <c r="D385" s="571"/>
      <c r="E385" s="572"/>
      <c r="F385" s="573"/>
      <c r="G385" s="942"/>
      <c r="H385" s="602"/>
      <c r="I385" s="574"/>
      <c r="J385" s="574"/>
      <c r="K385" s="955"/>
      <c r="L385" s="1217" t="s">
        <v>680</v>
      </c>
      <c r="M385" s="910"/>
      <c r="N385" s="910" t="s">
        <v>654</v>
      </c>
      <c r="O385" s="911">
        <f>'사. 임직원보수 일람표'!L70</f>
        <v>16030</v>
      </c>
      <c r="P385" s="913" t="s">
        <v>724</v>
      </c>
      <c r="Q385" s="923">
        <v>40</v>
      </c>
      <c r="R385" s="913" t="s">
        <v>724</v>
      </c>
      <c r="S385" s="915">
        <f>'사. 임직원보수 일람표'!F70</f>
        <v>11</v>
      </c>
      <c r="T385" s="916" t="s">
        <v>345</v>
      </c>
      <c r="U385" s="917">
        <f t="shared" si="24"/>
        <v>7053200</v>
      </c>
      <c r="Y385" s="544"/>
      <c r="Z385" s="544"/>
      <c r="AA385" s="544"/>
      <c r="AE385" s="1054"/>
    </row>
    <row r="386" spans="1:31" ht="21.75" hidden="1" customHeight="1" x14ac:dyDescent="0.15">
      <c r="A386" s="569"/>
      <c r="B386" s="570"/>
      <c r="C386" s="570"/>
      <c r="D386" s="571"/>
      <c r="E386" s="572"/>
      <c r="F386" s="573"/>
      <c r="G386" s="942"/>
      <c r="H386" s="602"/>
      <c r="I386" s="574"/>
      <c r="J386" s="574"/>
      <c r="K386" s="955"/>
      <c r="L386" s="1217" t="s">
        <v>680</v>
      </c>
      <c r="M386" s="910"/>
      <c r="N386" s="910" t="s">
        <v>702</v>
      </c>
      <c r="O386" s="911">
        <f>'사. 임직원보수 일람표'!L71</f>
        <v>17200</v>
      </c>
      <c r="P386" s="913" t="s">
        <v>724</v>
      </c>
      <c r="Q386" s="923">
        <v>40</v>
      </c>
      <c r="R386" s="913" t="s">
        <v>724</v>
      </c>
      <c r="S386" s="915">
        <f>'사. 임직원보수 일람표'!F71</f>
        <v>5</v>
      </c>
      <c r="T386" s="916" t="s">
        <v>345</v>
      </c>
      <c r="U386" s="917">
        <f t="shared" si="24"/>
        <v>3440000</v>
      </c>
      <c r="Y386" s="544"/>
      <c r="Z386" s="544"/>
      <c r="AA386" s="544"/>
      <c r="AE386" s="1054"/>
    </row>
    <row r="387" spans="1:31" ht="21.75" hidden="1" customHeight="1" x14ac:dyDescent="0.15">
      <c r="A387" s="569"/>
      <c r="B387" s="570"/>
      <c r="C387" s="570"/>
      <c r="D387" s="571"/>
      <c r="E387" s="572"/>
      <c r="F387" s="573"/>
      <c r="G387" s="942"/>
      <c r="H387" s="602"/>
      <c r="I387" s="574"/>
      <c r="J387" s="574"/>
      <c r="K387" s="955"/>
      <c r="L387" s="1217" t="s">
        <v>680</v>
      </c>
      <c r="M387" s="910"/>
      <c r="N387" s="910" t="s">
        <v>702</v>
      </c>
      <c r="O387" s="911">
        <f>'사. 임직원보수 일람표'!L72</f>
        <v>17780</v>
      </c>
      <c r="P387" s="913" t="s">
        <v>724</v>
      </c>
      <c r="Q387" s="923">
        <v>40</v>
      </c>
      <c r="R387" s="913" t="s">
        <v>724</v>
      </c>
      <c r="S387" s="915">
        <f>'사. 임직원보수 일람표'!F72</f>
        <v>7</v>
      </c>
      <c r="T387" s="916" t="s">
        <v>345</v>
      </c>
      <c r="U387" s="917">
        <f t="shared" si="24"/>
        <v>4978400</v>
      </c>
      <c r="Y387" s="544"/>
      <c r="Z387" s="544"/>
      <c r="AA387" s="544"/>
      <c r="AE387" s="1054"/>
    </row>
    <row r="388" spans="1:31" ht="21.75" hidden="1" customHeight="1" x14ac:dyDescent="0.15">
      <c r="A388" s="569"/>
      <c r="B388" s="570"/>
      <c r="C388" s="570"/>
      <c r="D388" s="571"/>
      <c r="E388" s="572"/>
      <c r="F388" s="573"/>
      <c r="G388" s="942"/>
      <c r="H388" s="602"/>
      <c r="I388" s="574"/>
      <c r="J388" s="574"/>
      <c r="K388" s="955"/>
      <c r="L388" s="1217" t="s">
        <v>680</v>
      </c>
      <c r="M388" s="910"/>
      <c r="N388" s="910" t="s">
        <v>703</v>
      </c>
      <c r="O388" s="911">
        <f>'사. 임직원보수 일람표'!L73</f>
        <v>16030</v>
      </c>
      <c r="P388" s="913" t="s">
        <v>724</v>
      </c>
      <c r="Q388" s="923">
        <v>40</v>
      </c>
      <c r="R388" s="913" t="s">
        <v>724</v>
      </c>
      <c r="S388" s="915">
        <f>'사. 임직원보수 일람표'!F73</f>
        <v>7</v>
      </c>
      <c r="T388" s="916" t="s">
        <v>345</v>
      </c>
      <c r="U388" s="917">
        <f t="shared" si="24"/>
        <v>4488400</v>
      </c>
      <c r="Y388" s="544"/>
      <c r="Z388" s="544"/>
      <c r="AA388" s="544"/>
      <c r="AE388" s="1054"/>
    </row>
    <row r="389" spans="1:31" ht="21.75" hidden="1" customHeight="1" x14ac:dyDescent="0.15">
      <c r="A389" s="569"/>
      <c r="B389" s="570"/>
      <c r="C389" s="570"/>
      <c r="D389" s="571"/>
      <c r="E389" s="572"/>
      <c r="F389" s="573"/>
      <c r="G389" s="942"/>
      <c r="H389" s="602"/>
      <c r="I389" s="574"/>
      <c r="J389" s="574"/>
      <c r="K389" s="955"/>
      <c r="L389" s="1217" t="s">
        <v>680</v>
      </c>
      <c r="M389" s="910"/>
      <c r="N389" s="910" t="s">
        <v>703</v>
      </c>
      <c r="O389" s="911">
        <f>'사. 임직원보수 일람표'!L74</f>
        <v>16580</v>
      </c>
      <c r="P389" s="913" t="s">
        <v>724</v>
      </c>
      <c r="Q389" s="923">
        <v>40</v>
      </c>
      <c r="R389" s="913" t="s">
        <v>724</v>
      </c>
      <c r="S389" s="915">
        <f>'사. 임직원보수 일람표'!F74</f>
        <v>5</v>
      </c>
      <c r="T389" s="916" t="s">
        <v>345</v>
      </c>
      <c r="U389" s="917">
        <f t="shared" si="24"/>
        <v>3316000</v>
      </c>
      <c r="Y389" s="544"/>
      <c r="Z389" s="544"/>
      <c r="AA389" s="544"/>
      <c r="AE389" s="1054"/>
    </row>
    <row r="390" spans="1:31" ht="21.75" hidden="1" customHeight="1" x14ac:dyDescent="0.15">
      <c r="A390" s="569"/>
      <c r="B390" s="570"/>
      <c r="C390" s="570"/>
      <c r="D390" s="571"/>
      <c r="E390" s="572"/>
      <c r="F390" s="573"/>
      <c r="G390" s="942"/>
      <c r="H390" s="602"/>
      <c r="I390" s="574"/>
      <c r="J390" s="574"/>
      <c r="K390" s="955"/>
      <c r="L390" s="1217" t="s">
        <v>680</v>
      </c>
      <c r="M390" s="910"/>
      <c r="N390" s="910" t="s">
        <v>704</v>
      </c>
      <c r="O390" s="911">
        <f>'사. 임직원보수 일람표'!L75</f>
        <v>16030</v>
      </c>
      <c r="P390" s="913" t="s">
        <v>724</v>
      </c>
      <c r="Q390" s="923">
        <v>40</v>
      </c>
      <c r="R390" s="913" t="s">
        <v>724</v>
      </c>
      <c r="S390" s="915">
        <f>'사. 임직원보수 일람표'!F75</f>
        <v>4</v>
      </c>
      <c r="T390" s="916" t="s">
        <v>345</v>
      </c>
      <c r="U390" s="917">
        <f t="shared" si="24"/>
        <v>2564800</v>
      </c>
      <c r="Y390" s="544"/>
      <c r="Z390" s="544"/>
      <c r="AA390" s="544"/>
      <c r="AE390" s="1054"/>
    </row>
    <row r="391" spans="1:31" ht="21.75" hidden="1" customHeight="1" x14ac:dyDescent="0.15">
      <c r="A391" s="569"/>
      <c r="B391" s="570"/>
      <c r="C391" s="570"/>
      <c r="D391" s="571"/>
      <c r="E391" s="572"/>
      <c r="F391" s="573"/>
      <c r="G391" s="942"/>
      <c r="H391" s="602"/>
      <c r="I391" s="574"/>
      <c r="J391" s="574"/>
      <c r="K391" s="955"/>
      <c r="L391" s="1217" t="s">
        <v>680</v>
      </c>
      <c r="M391" s="910"/>
      <c r="N391" s="910" t="s">
        <v>704</v>
      </c>
      <c r="O391" s="911">
        <f>'사. 임직원보수 일람표'!L76</f>
        <v>16580</v>
      </c>
      <c r="P391" s="913" t="s">
        <v>724</v>
      </c>
      <c r="Q391" s="923">
        <v>40</v>
      </c>
      <c r="R391" s="913" t="s">
        <v>724</v>
      </c>
      <c r="S391" s="915">
        <f>'사. 임직원보수 일람표'!F76</f>
        <v>8</v>
      </c>
      <c r="T391" s="916" t="s">
        <v>345</v>
      </c>
      <c r="U391" s="917">
        <f t="shared" si="24"/>
        <v>5305600</v>
      </c>
      <c r="Y391" s="544"/>
      <c r="Z391" s="544"/>
      <c r="AA391" s="544"/>
      <c r="AE391" s="1054"/>
    </row>
    <row r="392" spans="1:31" ht="21.75" hidden="1" customHeight="1" x14ac:dyDescent="0.15">
      <c r="A392" s="569"/>
      <c r="B392" s="570"/>
      <c r="C392" s="570"/>
      <c r="D392" s="571"/>
      <c r="E392" s="572"/>
      <c r="F392" s="573"/>
      <c r="G392" s="942"/>
      <c r="H392" s="602"/>
      <c r="I392" s="574"/>
      <c r="J392" s="574"/>
      <c r="K392" s="955"/>
      <c r="L392" s="1217" t="s">
        <v>680</v>
      </c>
      <c r="M392" s="910"/>
      <c r="N392" s="910" t="s">
        <v>705</v>
      </c>
      <c r="O392" s="911">
        <f>'사. 임직원보수 일람표'!L77</f>
        <v>16580</v>
      </c>
      <c r="P392" s="913" t="s">
        <v>724</v>
      </c>
      <c r="Q392" s="923">
        <v>40</v>
      </c>
      <c r="R392" s="913" t="s">
        <v>724</v>
      </c>
      <c r="S392" s="915">
        <f>'사. 임직원보수 일람표'!F77</f>
        <v>7</v>
      </c>
      <c r="T392" s="916" t="s">
        <v>345</v>
      </c>
      <c r="U392" s="917">
        <f t="shared" ref="U392:U449" si="25">O392*Q392*S392</f>
        <v>4642400</v>
      </c>
      <c r="Y392" s="544"/>
      <c r="Z392" s="544"/>
      <c r="AA392" s="544"/>
      <c r="AE392" s="1054"/>
    </row>
    <row r="393" spans="1:31" ht="21.75" hidden="1" customHeight="1" x14ac:dyDescent="0.15">
      <c r="A393" s="569"/>
      <c r="B393" s="570"/>
      <c r="C393" s="570"/>
      <c r="D393" s="571"/>
      <c r="E393" s="572"/>
      <c r="F393" s="573"/>
      <c r="G393" s="942"/>
      <c r="H393" s="602"/>
      <c r="I393" s="574"/>
      <c r="J393" s="574"/>
      <c r="K393" s="955"/>
      <c r="L393" s="1217" t="s">
        <v>680</v>
      </c>
      <c r="M393" s="910"/>
      <c r="N393" s="910" t="s">
        <v>705</v>
      </c>
      <c r="O393" s="911">
        <f>'사. 임직원보수 일람표'!L78</f>
        <v>17200</v>
      </c>
      <c r="P393" s="913" t="s">
        <v>724</v>
      </c>
      <c r="Q393" s="923">
        <v>40</v>
      </c>
      <c r="R393" s="913" t="s">
        <v>724</v>
      </c>
      <c r="S393" s="915">
        <f>'사. 임직원보수 일람표'!F78</f>
        <v>5</v>
      </c>
      <c r="T393" s="916" t="s">
        <v>345</v>
      </c>
      <c r="U393" s="917">
        <f t="shared" si="25"/>
        <v>3440000</v>
      </c>
      <c r="Y393" s="544"/>
      <c r="Z393" s="544"/>
      <c r="AA393" s="544"/>
      <c r="AE393" s="1054"/>
    </row>
    <row r="394" spans="1:31" ht="21.75" hidden="1" customHeight="1" x14ac:dyDescent="0.15">
      <c r="A394" s="569"/>
      <c r="B394" s="570"/>
      <c r="C394" s="570"/>
      <c r="D394" s="571"/>
      <c r="E394" s="572"/>
      <c r="F394" s="573"/>
      <c r="G394" s="942"/>
      <c r="H394" s="602"/>
      <c r="I394" s="574"/>
      <c r="J394" s="574"/>
      <c r="K394" s="955"/>
      <c r="L394" s="1217" t="s">
        <v>680</v>
      </c>
      <c r="M394" s="910"/>
      <c r="N394" s="910" t="s">
        <v>971</v>
      </c>
      <c r="O394" s="911">
        <f>'사. 임직원보수 일람표'!L79</f>
        <v>14610</v>
      </c>
      <c r="P394" s="913" t="s">
        <v>724</v>
      </c>
      <c r="Q394" s="923">
        <v>40</v>
      </c>
      <c r="R394" s="913" t="s">
        <v>724</v>
      </c>
      <c r="S394" s="915">
        <f>'사. 임직원보수 일람표'!F79</f>
        <v>10</v>
      </c>
      <c r="T394" s="916" t="s">
        <v>345</v>
      </c>
      <c r="U394" s="917">
        <f t="shared" si="25"/>
        <v>5844000</v>
      </c>
      <c r="Y394" s="544"/>
      <c r="Z394" s="544"/>
      <c r="AA394" s="544"/>
      <c r="AE394" s="1054"/>
    </row>
    <row r="395" spans="1:31" ht="21.75" hidden="1" customHeight="1" x14ac:dyDescent="0.15">
      <c r="A395" s="569"/>
      <c r="B395" s="570"/>
      <c r="C395" s="570"/>
      <c r="D395" s="571"/>
      <c r="E395" s="572"/>
      <c r="F395" s="573"/>
      <c r="G395" s="942"/>
      <c r="H395" s="602"/>
      <c r="I395" s="574"/>
      <c r="J395" s="574"/>
      <c r="K395" s="955"/>
      <c r="L395" s="1217" t="s">
        <v>680</v>
      </c>
      <c r="M395" s="910"/>
      <c r="N395" s="910" t="s">
        <v>971</v>
      </c>
      <c r="O395" s="911">
        <f>'사. 임직원보수 일람표'!L80</f>
        <v>15060</v>
      </c>
      <c r="P395" s="913" t="s">
        <v>724</v>
      </c>
      <c r="Q395" s="923">
        <v>40</v>
      </c>
      <c r="R395" s="913" t="s">
        <v>724</v>
      </c>
      <c r="S395" s="915">
        <f>'사. 임직원보수 일람표'!F80</f>
        <v>2</v>
      </c>
      <c r="T395" s="916" t="s">
        <v>345</v>
      </c>
      <c r="U395" s="917">
        <f t="shared" si="25"/>
        <v>1204800</v>
      </c>
      <c r="Y395" s="544"/>
      <c r="Z395" s="544"/>
      <c r="AA395" s="544"/>
      <c r="AE395" s="1054"/>
    </row>
    <row r="396" spans="1:31" ht="21.75" hidden="1" customHeight="1" x14ac:dyDescent="0.15">
      <c r="A396" s="569"/>
      <c r="B396" s="570"/>
      <c r="C396" s="570"/>
      <c r="D396" s="571"/>
      <c r="E396" s="572"/>
      <c r="F396" s="573"/>
      <c r="G396" s="942"/>
      <c r="H396" s="602"/>
      <c r="I396" s="574"/>
      <c r="J396" s="574"/>
      <c r="K396" s="955"/>
      <c r="L396" s="1217" t="s">
        <v>680</v>
      </c>
      <c r="M396" s="910"/>
      <c r="N396" s="910" t="s">
        <v>1268</v>
      </c>
      <c r="O396" s="911">
        <f>'사. 임직원보수 일람표'!L81</f>
        <v>19590</v>
      </c>
      <c r="P396" s="913" t="s">
        <v>724</v>
      </c>
      <c r="Q396" s="923">
        <v>40</v>
      </c>
      <c r="R396" s="913" t="s">
        <v>724</v>
      </c>
      <c r="S396" s="915">
        <f>'사. 임직원보수 일람표'!F81</f>
        <v>7</v>
      </c>
      <c r="T396" s="916" t="s">
        <v>345</v>
      </c>
      <c r="U396" s="917">
        <f t="shared" si="25"/>
        <v>5485200</v>
      </c>
      <c r="Y396" s="544"/>
      <c r="Z396" s="544"/>
      <c r="AA396" s="544"/>
      <c r="AE396" s="1054"/>
    </row>
    <row r="397" spans="1:31" ht="21.75" hidden="1" customHeight="1" x14ac:dyDescent="0.15">
      <c r="A397" s="569"/>
      <c r="B397" s="570"/>
      <c r="C397" s="570"/>
      <c r="D397" s="571"/>
      <c r="E397" s="572"/>
      <c r="F397" s="573"/>
      <c r="G397" s="942"/>
      <c r="H397" s="602"/>
      <c r="I397" s="574"/>
      <c r="J397" s="574"/>
      <c r="K397" s="955"/>
      <c r="L397" s="1217" t="s">
        <v>680</v>
      </c>
      <c r="M397" s="910"/>
      <c r="N397" s="910" t="s">
        <v>1268</v>
      </c>
      <c r="O397" s="911">
        <f>'사. 임직원보수 일람표'!L82</f>
        <v>20020</v>
      </c>
      <c r="P397" s="913" t="s">
        <v>724</v>
      </c>
      <c r="Q397" s="923">
        <v>40</v>
      </c>
      <c r="R397" s="913" t="s">
        <v>724</v>
      </c>
      <c r="S397" s="915">
        <f>'사. 임직원보수 일람표'!F82</f>
        <v>5</v>
      </c>
      <c r="T397" s="916" t="s">
        <v>345</v>
      </c>
      <c r="U397" s="917">
        <f t="shared" si="25"/>
        <v>4004000</v>
      </c>
      <c r="Y397" s="544"/>
      <c r="Z397" s="544"/>
      <c r="AA397" s="544"/>
      <c r="AE397" s="1054"/>
    </row>
    <row r="398" spans="1:31" ht="21.75" hidden="1" customHeight="1" x14ac:dyDescent="0.15">
      <c r="A398" s="569"/>
      <c r="B398" s="570"/>
      <c r="C398" s="570"/>
      <c r="D398" s="571"/>
      <c r="E398" s="572"/>
      <c r="F398" s="573"/>
      <c r="G398" s="942"/>
      <c r="H398" s="602"/>
      <c r="I398" s="574"/>
      <c r="J398" s="574"/>
      <c r="K398" s="955"/>
      <c r="L398" s="1217" t="s">
        <v>680</v>
      </c>
      <c r="M398" s="910"/>
      <c r="N398" s="910" t="s">
        <v>1270</v>
      </c>
      <c r="O398" s="911">
        <f>'사. 임직원보수 일람표'!L83</f>
        <v>14200</v>
      </c>
      <c r="P398" s="913" t="s">
        <v>724</v>
      </c>
      <c r="Q398" s="923">
        <v>20</v>
      </c>
      <c r="R398" s="913" t="s">
        <v>724</v>
      </c>
      <c r="S398" s="915">
        <f>'사. 임직원보수 일람표'!F83</f>
        <v>7</v>
      </c>
      <c r="T398" s="916" t="s">
        <v>345</v>
      </c>
      <c r="U398" s="917">
        <f t="shared" si="25"/>
        <v>1988000</v>
      </c>
      <c r="Y398" s="544"/>
      <c r="Z398" s="544"/>
      <c r="AA398" s="544"/>
      <c r="AE398" s="1054"/>
    </row>
    <row r="399" spans="1:31" ht="21.75" hidden="1" customHeight="1" x14ac:dyDescent="0.15">
      <c r="A399" s="569"/>
      <c r="B399" s="570"/>
      <c r="C399" s="570"/>
      <c r="D399" s="571"/>
      <c r="E399" s="572"/>
      <c r="F399" s="573"/>
      <c r="G399" s="942"/>
      <c r="H399" s="602"/>
      <c r="I399" s="574"/>
      <c r="J399" s="574"/>
      <c r="K399" s="955"/>
      <c r="L399" s="1217" t="s">
        <v>680</v>
      </c>
      <c r="M399" s="910"/>
      <c r="N399" s="910" t="s">
        <v>1271</v>
      </c>
      <c r="O399" s="911">
        <f>'사. 임직원보수 일람표'!L84</f>
        <v>14610</v>
      </c>
      <c r="P399" s="913" t="s">
        <v>724</v>
      </c>
      <c r="Q399" s="923">
        <v>20</v>
      </c>
      <c r="R399" s="913" t="s">
        <v>724</v>
      </c>
      <c r="S399" s="915">
        <f>'사. 임직원보수 일람표'!F84</f>
        <v>5</v>
      </c>
      <c r="T399" s="916" t="s">
        <v>345</v>
      </c>
      <c r="U399" s="917">
        <f t="shared" si="25"/>
        <v>1461000</v>
      </c>
      <c r="Y399" s="544"/>
      <c r="Z399" s="544"/>
      <c r="AA399" s="544"/>
      <c r="AE399" s="1054"/>
    </row>
    <row r="400" spans="1:31" ht="21.75" hidden="1" customHeight="1" x14ac:dyDescent="0.15">
      <c r="A400" s="569"/>
      <c r="B400" s="570"/>
      <c r="C400" s="570"/>
      <c r="D400" s="571"/>
      <c r="E400" s="572"/>
      <c r="F400" s="573"/>
      <c r="G400" s="942"/>
      <c r="H400" s="602"/>
      <c r="I400" s="574"/>
      <c r="J400" s="574"/>
      <c r="K400" s="955"/>
      <c r="L400" s="1217" t="s">
        <v>680</v>
      </c>
      <c r="M400" s="910"/>
      <c r="N400" s="910" t="s">
        <v>1272</v>
      </c>
      <c r="O400" s="911">
        <f>'사. 임직원보수 일람표'!L85</f>
        <v>14200</v>
      </c>
      <c r="P400" s="913" t="s">
        <v>724</v>
      </c>
      <c r="Q400" s="923">
        <v>40</v>
      </c>
      <c r="R400" s="913" t="s">
        <v>724</v>
      </c>
      <c r="S400" s="915">
        <f>'사. 임직원보수 일람표'!F85</f>
        <v>4</v>
      </c>
      <c r="T400" s="916" t="s">
        <v>345</v>
      </c>
      <c r="U400" s="917">
        <f t="shared" si="25"/>
        <v>2272000</v>
      </c>
      <c r="Y400" s="544"/>
      <c r="Z400" s="544"/>
      <c r="AA400" s="544"/>
      <c r="AE400" s="1054"/>
    </row>
    <row r="401" spans="1:31" ht="21.75" hidden="1" customHeight="1" x14ac:dyDescent="0.15">
      <c r="A401" s="569"/>
      <c r="B401" s="570"/>
      <c r="C401" s="570"/>
      <c r="D401" s="571"/>
      <c r="E401" s="572"/>
      <c r="F401" s="573"/>
      <c r="G401" s="942"/>
      <c r="H401" s="602"/>
      <c r="I401" s="574"/>
      <c r="J401" s="574"/>
      <c r="K401" s="955"/>
      <c r="L401" s="1217" t="s">
        <v>680</v>
      </c>
      <c r="M401" s="910"/>
      <c r="N401" s="910" t="s">
        <v>1273</v>
      </c>
      <c r="O401" s="911">
        <f>'사. 임직원보수 일람표'!L86</f>
        <v>14610</v>
      </c>
      <c r="P401" s="913" t="s">
        <v>724</v>
      </c>
      <c r="Q401" s="923">
        <v>40</v>
      </c>
      <c r="R401" s="913" t="s">
        <v>724</v>
      </c>
      <c r="S401" s="915">
        <f>'사. 임직원보수 일람표'!F86</f>
        <v>8</v>
      </c>
      <c r="T401" s="916" t="s">
        <v>345</v>
      </c>
      <c r="U401" s="917">
        <f t="shared" si="25"/>
        <v>4675200</v>
      </c>
      <c r="Y401" s="544"/>
      <c r="Z401" s="544"/>
      <c r="AA401" s="544"/>
      <c r="AE401" s="1054"/>
    </row>
    <row r="402" spans="1:31" ht="21.75" hidden="1" customHeight="1" x14ac:dyDescent="0.15">
      <c r="A402" s="569"/>
      <c r="B402" s="570"/>
      <c r="C402" s="570"/>
      <c r="D402" s="571"/>
      <c r="E402" s="572"/>
      <c r="F402" s="573"/>
      <c r="G402" s="942"/>
      <c r="H402" s="602"/>
      <c r="I402" s="574"/>
      <c r="J402" s="574"/>
      <c r="K402" s="955"/>
      <c r="L402" s="1217" t="s">
        <v>680</v>
      </c>
      <c r="M402" s="910"/>
      <c r="N402" s="910" t="s">
        <v>1274</v>
      </c>
      <c r="O402" s="911">
        <f>'사. 임직원보수 일람표'!L87</f>
        <v>14200</v>
      </c>
      <c r="P402" s="913" t="s">
        <v>724</v>
      </c>
      <c r="Q402" s="923">
        <v>40</v>
      </c>
      <c r="R402" s="913" t="s">
        <v>724</v>
      </c>
      <c r="S402" s="915">
        <f>'사. 임직원보수 일람표'!F87</f>
        <v>4</v>
      </c>
      <c r="T402" s="916" t="s">
        <v>345</v>
      </c>
      <c r="U402" s="917">
        <f t="shared" si="25"/>
        <v>2272000</v>
      </c>
      <c r="Y402" s="544"/>
      <c r="Z402" s="544"/>
      <c r="AA402" s="544"/>
      <c r="AE402" s="1054"/>
    </row>
    <row r="403" spans="1:31" ht="21.75" hidden="1" customHeight="1" x14ac:dyDescent="0.15">
      <c r="A403" s="569"/>
      <c r="B403" s="570"/>
      <c r="C403" s="570"/>
      <c r="D403" s="571"/>
      <c r="E403" s="572"/>
      <c r="F403" s="573"/>
      <c r="G403" s="942"/>
      <c r="H403" s="602"/>
      <c r="I403" s="574"/>
      <c r="J403" s="574"/>
      <c r="K403" s="955"/>
      <c r="L403" s="1217" t="s">
        <v>680</v>
      </c>
      <c r="M403" s="910"/>
      <c r="N403" s="910" t="s">
        <v>1274</v>
      </c>
      <c r="O403" s="911">
        <f>'사. 임직원보수 일람표'!L88</f>
        <v>14610</v>
      </c>
      <c r="P403" s="913" t="s">
        <v>724</v>
      </c>
      <c r="Q403" s="923">
        <v>40</v>
      </c>
      <c r="R403" s="913" t="s">
        <v>724</v>
      </c>
      <c r="S403" s="915">
        <f>'사. 임직원보수 일람표'!F88</f>
        <v>8</v>
      </c>
      <c r="T403" s="916" t="s">
        <v>345</v>
      </c>
      <c r="U403" s="917">
        <f t="shared" si="25"/>
        <v>4675200</v>
      </c>
      <c r="Y403" s="544"/>
      <c r="Z403" s="544"/>
      <c r="AA403" s="544"/>
      <c r="AE403" s="1054"/>
    </row>
    <row r="404" spans="1:31" ht="21.75" hidden="1" customHeight="1" x14ac:dyDescent="0.15">
      <c r="A404" s="569"/>
      <c r="B404" s="570"/>
      <c r="C404" s="570"/>
      <c r="D404" s="571"/>
      <c r="E404" s="572"/>
      <c r="F404" s="573"/>
      <c r="G404" s="942"/>
      <c r="H404" s="602"/>
      <c r="I404" s="574"/>
      <c r="J404" s="574"/>
      <c r="K404" s="955"/>
      <c r="L404" s="1217" t="s">
        <v>680</v>
      </c>
      <c r="M404" s="910"/>
      <c r="N404" s="910" t="s">
        <v>1274</v>
      </c>
      <c r="O404" s="911">
        <f>'사. 임직원보수 일람표'!L89</f>
        <v>17200</v>
      </c>
      <c r="P404" s="913" t="s">
        <v>724</v>
      </c>
      <c r="Q404" s="923">
        <v>40</v>
      </c>
      <c r="R404" s="913" t="s">
        <v>724</v>
      </c>
      <c r="S404" s="915">
        <f>'사. 임직원보수 일람표'!F89</f>
        <v>12</v>
      </c>
      <c r="T404" s="916" t="s">
        <v>345</v>
      </c>
      <c r="U404" s="917">
        <f t="shared" si="25"/>
        <v>8256000</v>
      </c>
      <c r="Y404" s="544"/>
      <c r="Z404" s="544"/>
      <c r="AA404" s="544"/>
      <c r="AE404" s="1054"/>
    </row>
    <row r="405" spans="1:31" ht="21.75" hidden="1" customHeight="1" x14ac:dyDescent="0.15">
      <c r="A405" s="569"/>
      <c r="B405" s="570"/>
      <c r="C405" s="570"/>
      <c r="D405" s="571"/>
      <c r="E405" s="572"/>
      <c r="F405" s="573"/>
      <c r="G405" s="942"/>
      <c r="H405" s="602"/>
      <c r="I405" s="574"/>
      <c r="J405" s="574"/>
      <c r="K405" s="955"/>
      <c r="L405" s="1217" t="s">
        <v>680</v>
      </c>
      <c r="M405" s="910"/>
      <c r="N405" s="910" t="s">
        <v>1274</v>
      </c>
      <c r="O405" s="911">
        <f>'사. 임직원보수 일람표'!L90</f>
        <v>0</v>
      </c>
      <c r="P405" s="913" t="s">
        <v>724</v>
      </c>
      <c r="Q405" s="923">
        <v>40</v>
      </c>
      <c r="R405" s="913" t="s">
        <v>724</v>
      </c>
      <c r="S405" s="915">
        <f>'사. 임직원보수 일람표'!F90</f>
        <v>0</v>
      </c>
      <c r="T405" s="916" t="s">
        <v>345</v>
      </c>
      <c r="U405" s="917">
        <f t="shared" si="25"/>
        <v>0</v>
      </c>
      <c r="Y405" s="544"/>
      <c r="Z405" s="544"/>
      <c r="AA405" s="544"/>
      <c r="AE405" s="1054"/>
    </row>
    <row r="406" spans="1:31" ht="21.75" hidden="1" customHeight="1" x14ac:dyDescent="0.15">
      <c r="A406" s="569"/>
      <c r="B406" s="570"/>
      <c r="C406" s="570"/>
      <c r="D406" s="571"/>
      <c r="E406" s="572"/>
      <c r="F406" s="573"/>
      <c r="G406" s="942"/>
      <c r="H406" s="602"/>
      <c r="I406" s="574"/>
      <c r="J406" s="574"/>
      <c r="K406" s="955"/>
      <c r="L406" s="1217" t="s">
        <v>680</v>
      </c>
      <c r="M406" s="910"/>
      <c r="N406" s="910" t="s">
        <v>983</v>
      </c>
      <c r="O406" s="911">
        <f>'사. 임직원보수 일람표'!L91</f>
        <v>14610</v>
      </c>
      <c r="P406" s="913" t="s">
        <v>724</v>
      </c>
      <c r="Q406" s="923">
        <v>40</v>
      </c>
      <c r="R406" s="913" t="s">
        <v>724</v>
      </c>
      <c r="S406" s="915">
        <f>'사. 임직원보수 일람표'!F91</f>
        <v>10</v>
      </c>
      <c r="T406" s="916" t="s">
        <v>345</v>
      </c>
      <c r="U406" s="917">
        <f t="shared" si="25"/>
        <v>5844000</v>
      </c>
      <c r="Y406" s="544"/>
      <c r="Z406" s="544"/>
      <c r="AA406" s="544"/>
      <c r="AE406" s="1054"/>
    </row>
    <row r="407" spans="1:31" ht="21.75" hidden="1" customHeight="1" x14ac:dyDescent="0.15">
      <c r="A407" s="569"/>
      <c r="B407" s="570"/>
      <c r="C407" s="570"/>
      <c r="D407" s="571"/>
      <c r="E407" s="572"/>
      <c r="F407" s="573"/>
      <c r="G407" s="942"/>
      <c r="H407" s="602"/>
      <c r="I407" s="574"/>
      <c r="J407" s="574"/>
      <c r="K407" s="955"/>
      <c r="L407" s="1217" t="s">
        <v>680</v>
      </c>
      <c r="M407" s="910"/>
      <c r="N407" s="910" t="s">
        <v>971</v>
      </c>
      <c r="O407" s="911">
        <f>'사. 임직원보수 일람표'!L92</f>
        <v>15060</v>
      </c>
      <c r="P407" s="913" t="s">
        <v>724</v>
      </c>
      <c r="Q407" s="923">
        <v>40</v>
      </c>
      <c r="R407" s="913" t="s">
        <v>724</v>
      </c>
      <c r="S407" s="915">
        <f>'사. 임직원보수 일람표'!F92</f>
        <v>2</v>
      </c>
      <c r="T407" s="916" t="s">
        <v>345</v>
      </c>
      <c r="U407" s="917">
        <f t="shared" si="25"/>
        <v>1204800</v>
      </c>
      <c r="Y407" s="544"/>
      <c r="Z407" s="544"/>
      <c r="AA407" s="544"/>
      <c r="AE407" s="1054"/>
    </row>
    <row r="408" spans="1:31" ht="21.75" hidden="1" customHeight="1" x14ac:dyDescent="0.15">
      <c r="A408" s="569"/>
      <c r="B408" s="570"/>
      <c r="C408" s="570"/>
      <c r="D408" s="571"/>
      <c r="E408" s="572"/>
      <c r="F408" s="573"/>
      <c r="G408" s="942"/>
      <c r="H408" s="602"/>
      <c r="I408" s="574"/>
      <c r="J408" s="574"/>
      <c r="K408" s="955"/>
      <c r="L408" s="1217" t="s">
        <v>706</v>
      </c>
      <c r="M408" s="910"/>
      <c r="N408" s="910" t="s">
        <v>707</v>
      </c>
      <c r="O408" s="911">
        <f>'사. 임직원보수 일람표'!L93</f>
        <v>18130</v>
      </c>
      <c r="P408" s="913" t="s">
        <v>724</v>
      </c>
      <c r="Q408" s="923">
        <v>20</v>
      </c>
      <c r="R408" s="913" t="s">
        <v>724</v>
      </c>
      <c r="S408" s="915">
        <f>'사. 임직원보수 일람표'!F93</f>
        <v>8</v>
      </c>
      <c r="T408" s="916" t="s">
        <v>345</v>
      </c>
      <c r="U408" s="917">
        <f t="shared" si="25"/>
        <v>2900800</v>
      </c>
      <c r="Y408" s="544"/>
      <c r="Z408" s="544"/>
      <c r="AA408" s="544"/>
      <c r="AE408" s="1054"/>
    </row>
    <row r="409" spans="1:31" ht="21.75" hidden="1" customHeight="1" x14ac:dyDescent="0.15">
      <c r="A409" s="569"/>
      <c r="B409" s="570"/>
      <c r="C409" s="570"/>
      <c r="D409" s="571"/>
      <c r="E409" s="572"/>
      <c r="F409" s="573"/>
      <c r="G409" s="942"/>
      <c r="H409" s="602"/>
      <c r="I409" s="574"/>
      <c r="J409" s="574"/>
      <c r="K409" s="955"/>
      <c r="L409" s="1217" t="s">
        <v>706</v>
      </c>
      <c r="M409" s="910"/>
      <c r="N409" s="910" t="s">
        <v>707</v>
      </c>
      <c r="O409" s="911">
        <f>'사. 임직원보수 일람표'!L94</f>
        <v>18440</v>
      </c>
      <c r="P409" s="913" t="s">
        <v>724</v>
      </c>
      <c r="Q409" s="923">
        <v>20</v>
      </c>
      <c r="R409" s="913" t="s">
        <v>724</v>
      </c>
      <c r="S409" s="915">
        <f>'사. 임직원보수 일람표'!F94</f>
        <v>4</v>
      </c>
      <c r="T409" s="916" t="s">
        <v>345</v>
      </c>
      <c r="U409" s="917">
        <f t="shared" si="25"/>
        <v>1475200</v>
      </c>
      <c r="Y409" s="544"/>
      <c r="Z409" s="544"/>
      <c r="AA409" s="544"/>
      <c r="AE409" s="1054"/>
    </row>
    <row r="410" spans="1:31" ht="21.75" hidden="1" customHeight="1" x14ac:dyDescent="0.15">
      <c r="A410" s="569"/>
      <c r="B410" s="570"/>
      <c r="C410" s="570"/>
      <c r="D410" s="571"/>
      <c r="E410" s="572"/>
      <c r="F410" s="573"/>
      <c r="G410" s="942"/>
      <c r="H410" s="602"/>
      <c r="I410" s="574"/>
      <c r="J410" s="574"/>
      <c r="K410" s="955"/>
      <c r="L410" s="1217" t="s">
        <v>708</v>
      </c>
      <c r="M410" s="910"/>
      <c r="N410" s="910" t="s">
        <v>1114</v>
      </c>
      <c r="O410" s="911">
        <f>'사. 임직원보수 일람표'!L95</f>
        <v>14140</v>
      </c>
      <c r="P410" s="913" t="s">
        <v>724</v>
      </c>
      <c r="Q410" s="923">
        <v>40</v>
      </c>
      <c r="R410" s="913" t="s">
        <v>724</v>
      </c>
      <c r="S410" s="915">
        <f>'사. 임직원보수 일람표'!F95</f>
        <v>4</v>
      </c>
      <c r="T410" s="916" t="s">
        <v>345</v>
      </c>
      <c r="U410" s="917">
        <f t="shared" si="25"/>
        <v>2262400</v>
      </c>
      <c r="Y410" s="544"/>
      <c r="Z410" s="544"/>
      <c r="AA410" s="544"/>
      <c r="AE410" s="1054"/>
    </row>
    <row r="411" spans="1:31" ht="21.75" hidden="1" customHeight="1" x14ac:dyDescent="0.15">
      <c r="A411" s="569"/>
      <c r="B411" s="570"/>
      <c r="C411" s="570"/>
      <c r="D411" s="571"/>
      <c r="E411" s="572"/>
      <c r="F411" s="573"/>
      <c r="G411" s="942"/>
      <c r="H411" s="602"/>
      <c r="I411" s="574"/>
      <c r="J411" s="574"/>
      <c r="K411" s="955"/>
      <c r="L411" s="1217" t="s">
        <v>708</v>
      </c>
      <c r="M411" s="910"/>
      <c r="N411" s="910" t="s">
        <v>1122</v>
      </c>
      <c r="O411" s="911">
        <f>'사. 임직원보수 일람표'!L96</f>
        <v>14460</v>
      </c>
      <c r="P411" s="913" t="s">
        <v>724</v>
      </c>
      <c r="Q411" s="923">
        <v>40</v>
      </c>
      <c r="R411" s="913" t="s">
        <v>724</v>
      </c>
      <c r="S411" s="915">
        <f>'사. 임직원보수 일람표'!F96</f>
        <v>8</v>
      </c>
      <c r="T411" s="916" t="s">
        <v>345</v>
      </c>
      <c r="U411" s="917">
        <f t="shared" ref="U411" si="26">O411*Q411*S411</f>
        <v>4627200</v>
      </c>
      <c r="Y411" s="544"/>
      <c r="Z411" s="544"/>
      <c r="AA411" s="544"/>
      <c r="AE411" s="1054"/>
    </row>
    <row r="412" spans="1:31" ht="21.75" hidden="1" customHeight="1" x14ac:dyDescent="0.15">
      <c r="A412" s="569"/>
      <c r="B412" s="570"/>
      <c r="C412" s="570"/>
      <c r="D412" s="571"/>
      <c r="E412" s="572"/>
      <c r="F412" s="573"/>
      <c r="G412" s="942"/>
      <c r="H412" s="602"/>
      <c r="I412" s="574"/>
      <c r="J412" s="574"/>
      <c r="K412" s="955"/>
      <c r="L412" s="1217" t="s">
        <v>708</v>
      </c>
      <c r="M412" s="910"/>
      <c r="N412" s="910" t="s">
        <v>709</v>
      </c>
      <c r="O412" s="911">
        <f>'사. 임직원보수 일람표'!L97</f>
        <v>16140</v>
      </c>
      <c r="P412" s="913" t="s">
        <v>724</v>
      </c>
      <c r="Q412" s="923">
        <v>40</v>
      </c>
      <c r="R412" s="913" t="s">
        <v>724</v>
      </c>
      <c r="S412" s="915">
        <f>'사. 임직원보수 일람표'!F97</f>
        <v>2</v>
      </c>
      <c r="T412" s="916" t="s">
        <v>345</v>
      </c>
      <c r="U412" s="917">
        <f t="shared" si="25"/>
        <v>1291200</v>
      </c>
      <c r="Y412" s="544"/>
      <c r="Z412" s="544"/>
      <c r="AA412" s="544"/>
      <c r="AE412" s="1054"/>
    </row>
    <row r="413" spans="1:31" ht="21.75" hidden="1" customHeight="1" x14ac:dyDescent="0.15">
      <c r="A413" s="569"/>
      <c r="B413" s="570"/>
      <c r="C413" s="570"/>
      <c r="D413" s="571"/>
      <c r="E413" s="572"/>
      <c r="F413" s="573"/>
      <c r="G413" s="942"/>
      <c r="H413" s="602"/>
      <c r="I413" s="574"/>
      <c r="J413" s="574"/>
      <c r="K413" s="955"/>
      <c r="L413" s="1217" t="s">
        <v>708</v>
      </c>
      <c r="M413" s="910"/>
      <c r="N413" s="910" t="s">
        <v>709</v>
      </c>
      <c r="O413" s="911">
        <f>'사. 임직원보수 일람표'!L98</f>
        <v>16590</v>
      </c>
      <c r="P413" s="913" t="s">
        <v>724</v>
      </c>
      <c r="Q413" s="923">
        <v>40</v>
      </c>
      <c r="R413" s="913" t="s">
        <v>724</v>
      </c>
      <c r="S413" s="915">
        <f>'사. 임직원보수 일람표'!F98</f>
        <v>10</v>
      </c>
      <c r="T413" s="916" t="s">
        <v>345</v>
      </c>
      <c r="U413" s="917">
        <f t="shared" si="25"/>
        <v>6636000</v>
      </c>
      <c r="Y413" s="544"/>
      <c r="Z413" s="544"/>
      <c r="AA413" s="544"/>
      <c r="AE413" s="1054"/>
    </row>
    <row r="414" spans="1:31" ht="21.75" hidden="1" customHeight="1" x14ac:dyDescent="0.15">
      <c r="A414" s="569"/>
      <c r="B414" s="570"/>
      <c r="C414" s="570"/>
      <c r="D414" s="571"/>
      <c r="E414" s="572"/>
      <c r="F414" s="573"/>
      <c r="G414" s="942"/>
      <c r="H414" s="602"/>
      <c r="I414" s="574"/>
      <c r="J414" s="574"/>
      <c r="K414" s="955"/>
      <c r="L414" s="1217" t="s">
        <v>708</v>
      </c>
      <c r="M414" s="910"/>
      <c r="N414" s="910" t="s">
        <v>710</v>
      </c>
      <c r="O414" s="911">
        <f>'사. 임직원보수 일람표'!L99</f>
        <v>13920</v>
      </c>
      <c r="P414" s="913" t="s">
        <v>724</v>
      </c>
      <c r="Q414" s="923">
        <v>40</v>
      </c>
      <c r="R414" s="913" t="s">
        <v>724</v>
      </c>
      <c r="S414" s="915">
        <f>'사. 임직원보수 일람표'!F99</f>
        <v>6</v>
      </c>
      <c r="T414" s="916" t="s">
        <v>345</v>
      </c>
      <c r="U414" s="917">
        <f t="shared" si="25"/>
        <v>3340800</v>
      </c>
      <c r="Y414" s="544"/>
      <c r="Z414" s="544"/>
      <c r="AA414" s="544"/>
      <c r="AE414" s="1054"/>
    </row>
    <row r="415" spans="1:31" ht="21.75" hidden="1" customHeight="1" x14ac:dyDescent="0.15">
      <c r="A415" s="569"/>
      <c r="B415" s="570"/>
      <c r="C415" s="570"/>
      <c r="D415" s="571"/>
      <c r="E415" s="572"/>
      <c r="F415" s="573"/>
      <c r="G415" s="942"/>
      <c r="H415" s="602"/>
      <c r="I415" s="574"/>
      <c r="J415" s="574"/>
      <c r="K415" s="955"/>
      <c r="L415" s="1217" t="s">
        <v>708</v>
      </c>
      <c r="M415" s="910"/>
      <c r="N415" s="910" t="s">
        <v>710</v>
      </c>
      <c r="O415" s="911">
        <f>'사. 임직원보수 일람표'!L100</f>
        <v>14140</v>
      </c>
      <c r="P415" s="913" t="s">
        <v>724</v>
      </c>
      <c r="Q415" s="923">
        <v>40</v>
      </c>
      <c r="R415" s="913" t="s">
        <v>724</v>
      </c>
      <c r="S415" s="915">
        <f>'사. 임직원보수 일람표'!F100</f>
        <v>6</v>
      </c>
      <c r="T415" s="916" t="s">
        <v>345</v>
      </c>
      <c r="U415" s="917">
        <f t="shared" si="25"/>
        <v>3393600</v>
      </c>
      <c r="V415" s="544">
        <f>SUM(U320:U415)</f>
        <v>326717600</v>
      </c>
      <c r="W415" s="544">
        <f>V415-'사. 임직원보수 일람표'!M103</f>
        <v>0</v>
      </c>
      <c r="Y415" s="544"/>
      <c r="Z415" s="544"/>
      <c r="AA415" s="544"/>
      <c r="AE415" s="1054"/>
    </row>
    <row r="416" spans="1:31" ht="21.75" hidden="1" customHeight="1" x14ac:dyDescent="0.15">
      <c r="A416" s="569"/>
      <c r="B416" s="570"/>
      <c r="C416" s="570"/>
      <c r="D416" s="571"/>
      <c r="E416" s="572"/>
      <c r="F416" s="573"/>
      <c r="G416" s="942"/>
      <c r="H416" s="602"/>
      <c r="I416" s="574"/>
      <c r="J416" s="574"/>
      <c r="K416" s="955"/>
      <c r="L416" s="1217" t="s">
        <v>680</v>
      </c>
      <c r="M416" s="912" t="s">
        <v>725</v>
      </c>
      <c r="N416" s="910" t="s">
        <v>713</v>
      </c>
      <c r="O416" s="911">
        <f>'사. 임직원보수 일람표'!L110</f>
        <v>17780</v>
      </c>
      <c r="P416" s="913" t="s">
        <v>724</v>
      </c>
      <c r="Q416" s="923">
        <v>40</v>
      </c>
      <c r="R416" s="913" t="s">
        <v>724</v>
      </c>
      <c r="S416" s="915">
        <f>'사. 임직원보수 일람표'!F110</f>
        <v>1</v>
      </c>
      <c r="T416" s="916" t="s">
        <v>345</v>
      </c>
      <c r="U416" s="917">
        <f t="shared" si="25"/>
        <v>711200</v>
      </c>
      <c r="Y416" s="544"/>
      <c r="Z416" s="544"/>
      <c r="AA416" s="544"/>
      <c r="AE416" s="1054"/>
    </row>
    <row r="417" spans="1:31" ht="21.75" hidden="1" customHeight="1" x14ac:dyDescent="0.15">
      <c r="A417" s="569"/>
      <c r="B417" s="570"/>
      <c r="C417" s="570"/>
      <c r="D417" s="571"/>
      <c r="E417" s="572"/>
      <c r="F417" s="573"/>
      <c r="G417" s="942"/>
      <c r="H417" s="602"/>
      <c r="I417" s="574"/>
      <c r="J417" s="574"/>
      <c r="K417" s="955"/>
      <c r="L417" s="1217" t="s">
        <v>680</v>
      </c>
      <c r="M417" s="912" t="s">
        <v>725</v>
      </c>
      <c r="N417" s="910" t="s">
        <v>713</v>
      </c>
      <c r="O417" s="911">
        <f>'사. 임직원보수 일람표'!L111</f>
        <v>18340</v>
      </c>
      <c r="P417" s="913" t="s">
        <v>724</v>
      </c>
      <c r="Q417" s="923">
        <v>40</v>
      </c>
      <c r="R417" s="913" t="s">
        <v>724</v>
      </c>
      <c r="S417" s="915">
        <f>'사. 임직원보수 일람표'!F111</f>
        <v>11</v>
      </c>
      <c r="T417" s="916" t="s">
        <v>345</v>
      </c>
      <c r="U417" s="917">
        <f t="shared" si="25"/>
        <v>8069600</v>
      </c>
      <c r="Y417" s="544"/>
      <c r="Z417" s="544"/>
      <c r="AA417" s="544"/>
      <c r="AE417" s="1054"/>
    </row>
    <row r="418" spans="1:31" ht="21.75" hidden="1" customHeight="1" x14ac:dyDescent="0.15">
      <c r="A418" s="569"/>
      <c r="B418" s="570"/>
      <c r="C418" s="570"/>
      <c r="D418" s="571"/>
      <c r="E418" s="572"/>
      <c r="F418" s="573"/>
      <c r="G418" s="942"/>
      <c r="H418" s="602"/>
      <c r="I418" s="574"/>
      <c r="J418" s="574"/>
      <c r="K418" s="955"/>
      <c r="L418" s="1217" t="s">
        <v>708</v>
      </c>
      <c r="M418" s="912" t="s">
        <v>725</v>
      </c>
      <c r="N418" s="910" t="s">
        <v>714</v>
      </c>
      <c r="O418" s="911">
        <f>'사. 임직원보수 일람표'!L112</f>
        <v>15440</v>
      </c>
      <c r="P418" s="913" t="s">
        <v>724</v>
      </c>
      <c r="Q418" s="923">
        <v>40</v>
      </c>
      <c r="R418" s="913" t="s">
        <v>724</v>
      </c>
      <c r="S418" s="915">
        <f>'사. 임직원보수 일람표'!F112</f>
        <v>2</v>
      </c>
      <c r="T418" s="916" t="s">
        <v>345</v>
      </c>
      <c r="U418" s="917">
        <f t="shared" si="25"/>
        <v>1235200</v>
      </c>
      <c r="Y418" s="544"/>
      <c r="Z418" s="544"/>
      <c r="AA418" s="544"/>
      <c r="AE418" s="1054"/>
    </row>
    <row r="419" spans="1:31" ht="21.75" hidden="1" customHeight="1" x14ac:dyDescent="0.15">
      <c r="A419" s="569"/>
      <c r="B419" s="570"/>
      <c r="C419" s="570"/>
      <c r="D419" s="571"/>
      <c r="E419" s="572"/>
      <c r="F419" s="573"/>
      <c r="G419" s="942"/>
      <c r="H419" s="602"/>
      <c r="I419" s="574"/>
      <c r="J419" s="574"/>
      <c r="K419" s="955"/>
      <c r="L419" s="1217" t="s">
        <v>708</v>
      </c>
      <c r="M419" s="912" t="s">
        <v>725</v>
      </c>
      <c r="N419" s="910" t="s">
        <v>714</v>
      </c>
      <c r="O419" s="911">
        <f>'사. 임직원보수 일람표'!L113</f>
        <v>15670</v>
      </c>
      <c r="P419" s="913" t="s">
        <v>724</v>
      </c>
      <c r="Q419" s="923">
        <v>40</v>
      </c>
      <c r="R419" s="913" t="s">
        <v>724</v>
      </c>
      <c r="S419" s="915">
        <f>'사. 임직원보수 일람표'!F113</f>
        <v>10</v>
      </c>
      <c r="T419" s="916" t="s">
        <v>345</v>
      </c>
      <c r="U419" s="917">
        <f t="shared" si="25"/>
        <v>6268000</v>
      </c>
      <c r="Y419" s="544"/>
      <c r="Z419" s="544"/>
      <c r="AA419" s="544"/>
      <c r="AE419" s="1054"/>
    </row>
    <row r="420" spans="1:31" ht="21.75" hidden="1" customHeight="1" x14ac:dyDescent="0.15">
      <c r="A420" s="569"/>
      <c r="B420" s="570"/>
      <c r="C420" s="570"/>
      <c r="D420" s="571"/>
      <c r="E420" s="572"/>
      <c r="F420" s="573"/>
      <c r="G420" s="942"/>
      <c r="H420" s="602"/>
      <c r="I420" s="574"/>
      <c r="J420" s="574"/>
      <c r="K420" s="955"/>
      <c r="L420" s="1217" t="s">
        <v>715</v>
      </c>
      <c r="M420" s="912" t="s">
        <v>725</v>
      </c>
      <c r="N420" s="910" t="s">
        <v>1275</v>
      </c>
      <c r="O420" s="911">
        <f>'사. 임직원보수 일람표'!L114</f>
        <v>13810</v>
      </c>
      <c r="P420" s="913" t="s">
        <v>724</v>
      </c>
      <c r="Q420" s="923">
        <v>20</v>
      </c>
      <c r="R420" s="913" t="s">
        <v>724</v>
      </c>
      <c r="S420" s="915">
        <f>'사. 임직원보수 일람표'!F114</f>
        <v>2</v>
      </c>
      <c r="T420" s="916" t="s">
        <v>345</v>
      </c>
      <c r="U420" s="917">
        <f t="shared" si="25"/>
        <v>552400</v>
      </c>
      <c r="Y420" s="544"/>
      <c r="Z420" s="544"/>
      <c r="AA420" s="544"/>
      <c r="AE420" s="1054"/>
    </row>
    <row r="421" spans="1:31" ht="21.75" hidden="1" customHeight="1" x14ac:dyDescent="0.15">
      <c r="A421" s="569"/>
      <c r="B421" s="570"/>
      <c r="C421" s="570"/>
      <c r="D421" s="571"/>
      <c r="E421" s="572"/>
      <c r="F421" s="573"/>
      <c r="G421" s="942"/>
      <c r="H421" s="602"/>
      <c r="I421" s="574"/>
      <c r="J421" s="574"/>
      <c r="K421" s="955"/>
      <c r="L421" s="1217" t="s">
        <v>715</v>
      </c>
      <c r="M421" s="912" t="s">
        <v>725</v>
      </c>
      <c r="N421" s="910" t="s">
        <v>1276</v>
      </c>
      <c r="O421" s="911">
        <f>'사. 임직원보수 일람표'!L115</f>
        <v>13930</v>
      </c>
      <c r="P421" s="913" t="s">
        <v>724</v>
      </c>
      <c r="Q421" s="923">
        <v>20</v>
      </c>
      <c r="R421" s="913" t="s">
        <v>724</v>
      </c>
      <c r="S421" s="915">
        <f>'사. 임직원보수 일람표'!F115</f>
        <v>10</v>
      </c>
      <c r="T421" s="916" t="s">
        <v>345</v>
      </c>
      <c r="U421" s="917">
        <f t="shared" si="25"/>
        <v>2786000</v>
      </c>
      <c r="V421" s="544">
        <f>SUM(U416:U421)</f>
        <v>19622400</v>
      </c>
      <c r="W421" s="544">
        <f>V421-'사. 임직원보수 일람표'!M116</f>
        <v>0</v>
      </c>
      <c r="Y421" s="544"/>
      <c r="Z421" s="544"/>
      <c r="AA421" s="544"/>
      <c r="AE421" s="1054"/>
    </row>
    <row r="422" spans="1:31" ht="21.75" hidden="1" customHeight="1" x14ac:dyDescent="0.15">
      <c r="A422" s="569"/>
      <c r="B422" s="570"/>
      <c r="C422" s="570"/>
      <c r="D422" s="571"/>
      <c r="E422" s="572"/>
      <c r="F422" s="573"/>
      <c r="G422" s="942"/>
      <c r="H422" s="602"/>
      <c r="I422" s="574"/>
      <c r="J422" s="574"/>
      <c r="K422" s="955"/>
      <c r="L422" s="1217" t="s">
        <v>680</v>
      </c>
      <c r="M422" s="912" t="s">
        <v>726</v>
      </c>
      <c r="N422" s="910" t="s">
        <v>981</v>
      </c>
      <c r="O422" s="911">
        <f>'사. 임직원보수 일람표'!L123</f>
        <v>14610</v>
      </c>
      <c r="P422" s="913" t="s">
        <v>724</v>
      </c>
      <c r="Q422" s="923">
        <v>40</v>
      </c>
      <c r="R422" s="913" t="s">
        <v>724</v>
      </c>
      <c r="S422" s="915">
        <f>'사. 임직원보수 일람표'!F123</f>
        <v>12</v>
      </c>
      <c r="T422" s="916" t="s">
        <v>345</v>
      </c>
      <c r="U422" s="917">
        <f t="shared" si="25"/>
        <v>7012800</v>
      </c>
      <c r="Y422" s="544"/>
      <c r="Z422" s="544"/>
      <c r="AA422" s="544"/>
      <c r="AE422" s="1054"/>
    </row>
    <row r="423" spans="1:31" ht="21.75" hidden="1" customHeight="1" x14ac:dyDescent="0.15">
      <c r="A423" s="569"/>
      <c r="B423" s="570"/>
      <c r="C423" s="570"/>
      <c r="D423" s="571"/>
      <c r="E423" s="572"/>
      <c r="F423" s="573"/>
      <c r="G423" s="942"/>
      <c r="H423" s="602"/>
      <c r="I423" s="574"/>
      <c r="J423" s="574"/>
      <c r="K423" s="955"/>
      <c r="L423" s="1217" t="s">
        <v>680</v>
      </c>
      <c r="M423" s="912" t="s">
        <v>726</v>
      </c>
      <c r="N423" s="910" t="s">
        <v>671</v>
      </c>
      <c r="O423" s="911">
        <f>'사. 임직원보수 일람표'!L124</f>
        <v>0</v>
      </c>
      <c r="P423" s="913" t="s">
        <v>724</v>
      </c>
      <c r="Q423" s="923">
        <v>40</v>
      </c>
      <c r="R423" s="913" t="s">
        <v>724</v>
      </c>
      <c r="S423" s="915">
        <f>'사. 임직원보수 일람표'!F124</f>
        <v>0</v>
      </c>
      <c r="T423" s="916" t="s">
        <v>345</v>
      </c>
      <c r="U423" s="917">
        <f t="shared" si="25"/>
        <v>0</v>
      </c>
      <c r="Y423" s="544"/>
      <c r="Z423" s="544"/>
      <c r="AA423" s="544"/>
      <c r="AE423" s="1054"/>
    </row>
    <row r="424" spans="1:31" ht="21.75" hidden="1" customHeight="1" x14ac:dyDescent="0.15">
      <c r="A424" s="569"/>
      <c r="B424" s="570"/>
      <c r="C424" s="570"/>
      <c r="D424" s="571"/>
      <c r="E424" s="572"/>
      <c r="F424" s="573"/>
      <c r="G424" s="942"/>
      <c r="H424" s="602"/>
      <c r="I424" s="574"/>
      <c r="J424" s="574"/>
      <c r="K424" s="955"/>
      <c r="L424" s="1217" t="s">
        <v>680</v>
      </c>
      <c r="M424" s="912" t="s">
        <v>726</v>
      </c>
      <c r="N424" s="910" t="s">
        <v>716</v>
      </c>
      <c r="O424" s="911">
        <f>'사. 임직원보수 일람표'!L125</f>
        <v>15060</v>
      </c>
      <c r="P424" s="913" t="s">
        <v>724</v>
      </c>
      <c r="Q424" s="923">
        <v>40</v>
      </c>
      <c r="R424" s="913" t="s">
        <v>724</v>
      </c>
      <c r="S424" s="915">
        <f>'사. 임직원보수 일람표'!F125</f>
        <v>9</v>
      </c>
      <c r="T424" s="916" t="s">
        <v>345</v>
      </c>
      <c r="U424" s="917">
        <f t="shared" si="25"/>
        <v>5421600</v>
      </c>
      <c r="Y424" s="544"/>
      <c r="Z424" s="544"/>
      <c r="AA424" s="544"/>
      <c r="AE424" s="1054"/>
    </row>
    <row r="425" spans="1:31" ht="21.75" hidden="1" customHeight="1" x14ac:dyDescent="0.15">
      <c r="A425" s="569"/>
      <c r="B425" s="570"/>
      <c r="C425" s="570"/>
      <c r="D425" s="571"/>
      <c r="E425" s="572"/>
      <c r="F425" s="573"/>
      <c r="G425" s="942"/>
      <c r="H425" s="602"/>
      <c r="I425" s="574"/>
      <c r="J425" s="574"/>
      <c r="K425" s="955"/>
      <c r="L425" s="1217" t="s">
        <v>680</v>
      </c>
      <c r="M425" s="912" t="s">
        <v>726</v>
      </c>
      <c r="N425" s="910" t="s">
        <v>984</v>
      </c>
      <c r="O425" s="911">
        <f>'사. 임직원보수 일람표'!L126</f>
        <v>15530</v>
      </c>
      <c r="P425" s="913" t="s">
        <v>724</v>
      </c>
      <c r="Q425" s="923">
        <v>40</v>
      </c>
      <c r="R425" s="913" t="s">
        <v>724</v>
      </c>
      <c r="S425" s="915">
        <f>'사. 임직원보수 일람표'!F126</f>
        <v>3</v>
      </c>
      <c r="T425" s="916" t="s">
        <v>345</v>
      </c>
      <c r="U425" s="917">
        <f t="shared" si="25"/>
        <v>1863600</v>
      </c>
      <c r="Y425" s="544"/>
      <c r="Z425" s="544"/>
      <c r="AA425" s="544"/>
      <c r="AE425" s="1054"/>
    </row>
    <row r="426" spans="1:31" ht="21.75" hidden="1" customHeight="1" x14ac:dyDescent="0.15">
      <c r="A426" s="569"/>
      <c r="B426" s="570"/>
      <c r="C426" s="570"/>
      <c r="D426" s="571"/>
      <c r="E426" s="572"/>
      <c r="F426" s="573"/>
      <c r="G426" s="942"/>
      <c r="H426" s="602"/>
      <c r="I426" s="574"/>
      <c r="J426" s="574"/>
      <c r="K426" s="955"/>
      <c r="L426" s="1217" t="s">
        <v>680</v>
      </c>
      <c r="M426" s="912" t="s">
        <v>726</v>
      </c>
      <c r="N426" s="910" t="s">
        <v>985</v>
      </c>
      <c r="O426" s="911">
        <f>'사. 임직원보수 일람표'!L127</f>
        <v>14610</v>
      </c>
      <c r="P426" s="913" t="s">
        <v>724</v>
      </c>
      <c r="Q426" s="923">
        <v>40</v>
      </c>
      <c r="R426" s="913" t="s">
        <v>724</v>
      </c>
      <c r="S426" s="915">
        <f>'사. 임직원보수 일람표'!F127</f>
        <v>12</v>
      </c>
      <c r="T426" s="916" t="s">
        <v>345</v>
      </c>
      <c r="U426" s="917">
        <f t="shared" si="25"/>
        <v>7012800</v>
      </c>
      <c r="Y426" s="544"/>
      <c r="Z426" s="544"/>
      <c r="AA426" s="544"/>
      <c r="AE426" s="1054"/>
    </row>
    <row r="427" spans="1:31" ht="21.75" hidden="1" customHeight="1" x14ac:dyDescent="0.15">
      <c r="A427" s="569"/>
      <c r="B427" s="570"/>
      <c r="C427" s="570"/>
      <c r="D427" s="571"/>
      <c r="E427" s="572"/>
      <c r="F427" s="573"/>
      <c r="G427" s="942"/>
      <c r="H427" s="602"/>
      <c r="I427" s="574"/>
      <c r="J427" s="574"/>
      <c r="K427" s="955"/>
      <c r="L427" s="1217" t="s">
        <v>680</v>
      </c>
      <c r="M427" s="912" t="s">
        <v>726</v>
      </c>
      <c r="N427" s="910" t="s">
        <v>717</v>
      </c>
      <c r="O427" s="911">
        <f>'사. 임직원보수 일람표'!L128</f>
        <v>0</v>
      </c>
      <c r="P427" s="913" t="s">
        <v>724</v>
      </c>
      <c r="Q427" s="923">
        <v>40</v>
      </c>
      <c r="R427" s="913" t="s">
        <v>724</v>
      </c>
      <c r="S427" s="915">
        <f>'사. 임직원보수 일람표'!F128</f>
        <v>0</v>
      </c>
      <c r="T427" s="916" t="s">
        <v>345</v>
      </c>
      <c r="U427" s="917">
        <f t="shared" si="25"/>
        <v>0</v>
      </c>
      <c r="Y427" s="544"/>
      <c r="Z427" s="544"/>
      <c r="AA427" s="544"/>
      <c r="AE427" s="1054"/>
    </row>
    <row r="428" spans="1:31" ht="21.75" hidden="1" customHeight="1" x14ac:dyDescent="0.15">
      <c r="A428" s="569"/>
      <c r="B428" s="570"/>
      <c r="C428" s="570"/>
      <c r="D428" s="571"/>
      <c r="E428" s="572"/>
      <c r="F428" s="573"/>
      <c r="G428" s="942"/>
      <c r="H428" s="602"/>
      <c r="I428" s="574"/>
      <c r="J428" s="574"/>
      <c r="K428" s="955"/>
      <c r="L428" s="1217" t="s">
        <v>680</v>
      </c>
      <c r="M428" s="912" t="s">
        <v>726</v>
      </c>
      <c r="N428" s="910" t="s">
        <v>718</v>
      </c>
      <c r="O428" s="911">
        <f>'사. 임직원보수 일람표'!L129</f>
        <v>14610</v>
      </c>
      <c r="P428" s="913" t="s">
        <v>724</v>
      </c>
      <c r="Q428" s="923">
        <v>40</v>
      </c>
      <c r="R428" s="913" t="s">
        <v>724</v>
      </c>
      <c r="S428" s="915">
        <f>'사. 임직원보수 일람표'!F129</f>
        <v>12</v>
      </c>
      <c r="T428" s="916" t="s">
        <v>345</v>
      </c>
      <c r="U428" s="917">
        <f t="shared" si="25"/>
        <v>7012800</v>
      </c>
      <c r="Y428" s="544"/>
      <c r="Z428" s="544"/>
      <c r="AA428" s="544"/>
      <c r="AE428" s="1054"/>
    </row>
    <row r="429" spans="1:31" ht="21.75" hidden="1" customHeight="1" x14ac:dyDescent="0.15">
      <c r="A429" s="569"/>
      <c r="B429" s="570"/>
      <c r="C429" s="570"/>
      <c r="D429" s="571"/>
      <c r="E429" s="572"/>
      <c r="F429" s="573"/>
      <c r="G429" s="942"/>
      <c r="H429" s="602"/>
      <c r="I429" s="574"/>
      <c r="J429" s="574"/>
      <c r="K429" s="955"/>
      <c r="L429" s="1217" t="s">
        <v>680</v>
      </c>
      <c r="M429" s="912" t="s">
        <v>726</v>
      </c>
      <c r="N429" s="910" t="s">
        <v>986</v>
      </c>
      <c r="O429" s="911">
        <f>'사. 임직원보수 일람표'!L130</f>
        <v>0</v>
      </c>
      <c r="P429" s="913"/>
      <c r="Q429" s="923"/>
      <c r="R429" s="913"/>
      <c r="S429" s="915">
        <f>'사. 임직원보수 일람표'!F130</f>
        <v>0</v>
      </c>
      <c r="T429" s="916"/>
      <c r="U429" s="917"/>
      <c r="Y429" s="544"/>
      <c r="Z429" s="544"/>
      <c r="AA429" s="544"/>
      <c r="AE429" s="1054"/>
    </row>
    <row r="430" spans="1:31" ht="21.75" hidden="1" customHeight="1" x14ac:dyDescent="0.15">
      <c r="A430" s="569"/>
      <c r="B430" s="570"/>
      <c r="C430" s="570"/>
      <c r="D430" s="571"/>
      <c r="E430" s="572"/>
      <c r="F430" s="573"/>
      <c r="G430" s="942"/>
      <c r="H430" s="602"/>
      <c r="I430" s="574"/>
      <c r="J430" s="574"/>
      <c r="K430" s="955"/>
      <c r="L430" s="1217" t="s">
        <v>680</v>
      </c>
      <c r="M430" s="912" t="s">
        <v>726</v>
      </c>
      <c r="N430" s="910" t="s">
        <v>719</v>
      </c>
      <c r="O430" s="911">
        <f>'사. 임직원보수 일람표'!L131</f>
        <v>15060</v>
      </c>
      <c r="P430" s="913" t="s">
        <v>724</v>
      </c>
      <c r="Q430" s="923">
        <v>40</v>
      </c>
      <c r="R430" s="913" t="s">
        <v>724</v>
      </c>
      <c r="S430" s="915">
        <f>'사. 임직원보수 일람표'!F131</f>
        <v>5</v>
      </c>
      <c r="T430" s="916" t="s">
        <v>345</v>
      </c>
      <c r="U430" s="917">
        <f t="shared" si="25"/>
        <v>3012000</v>
      </c>
      <c r="Y430" s="544"/>
      <c r="Z430" s="544"/>
      <c r="AA430" s="544"/>
      <c r="AE430" s="1054"/>
    </row>
    <row r="431" spans="1:31" ht="21.75" hidden="1" customHeight="1" x14ac:dyDescent="0.15">
      <c r="A431" s="569"/>
      <c r="B431" s="570"/>
      <c r="C431" s="570"/>
      <c r="D431" s="571"/>
      <c r="E431" s="572"/>
      <c r="F431" s="573"/>
      <c r="G431" s="942"/>
      <c r="H431" s="602"/>
      <c r="I431" s="574"/>
      <c r="J431" s="574"/>
      <c r="K431" s="955"/>
      <c r="L431" s="1217" t="s">
        <v>680</v>
      </c>
      <c r="M431" s="912" t="s">
        <v>726</v>
      </c>
      <c r="N431" s="910" t="s">
        <v>987</v>
      </c>
      <c r="O431" s="911">
        <f>'사. 임직원보수 일람표'!L132</f>
        <v>15530</v>
      </c>
      <c r="P431" s="913" t="s">
        <v>724</v>
      </c>
      <c r="Q431" s="923">
        <v>40</v>
      </c>
      <c r="R431" s="913" t="s">
        <v>724</v>
      </c>
      <c r="S431" s="915">
        <f>'사. 임직원보수 일람표'!F132</f>
        <v>7</v>
      </c>
      <c r="T431" s="916"/>
      <c r="U431" s="917">
        <f t="shared" si="25"/>
        <v>4348400</v>
      </c>
      <c r="Y431" s="544"/>
      <c r="Z431" s="544"/>
      <c r="AA431" s="544"/>
      <c r="AE431" s="1054"/>
    </row>
    <row r="432" spans="1:31" ht="21.75" hidden="1" customHeight="1" x14ac:dyDescent="0.15">
      <c r="A432" s="569"/>
      <c r="B432" s="570"/>
      <c r="C432" s="570"/>
      <c r="D432" s="571"/>
      <c r="E432" s="572"/>
      <c r="F432" s="573"/>
      <c r="G432" s="942"/>
      <c r="H432" s="602"/>
      <c r="I432" s="574"/>
      <c r="J432" s="574"/>
      <c r="K432" s="955"/>
      <c r="L432" s="1217" t="s">
        <v>680</v>
      </c>
      <c r="M432" s="912" t="s">
        <v>726</v>
      </c>
      <c r="N432" s="910" t="s">
        <v>988</v>
      </c>
      <c r="O432" s="911">
        <f>'사. 임직원보수 일람표'!L133</f>
        <v>15060</v>
      </c>
      <c r="P432" s="913" t="s">
        <v>724</v>
      </c>
      <c r="Q432" s="923">
        <v>40</v>
      </c>
      <c r="R432" s="913" t="s">
        <v>724</v>
      </c>
      <c r="S432" s="915">
        <f>'사. 임직원보수 일람표'!F133</f>
        <v>6</v>
      </c>
      <c r="T432" s="916" t="s">
        <v>345</v>
      </c>
      <c r="U432" s="917">
        <f t="shared" si="25"/>
        <v>3614400</v>
      </c>
      <c r="Y432" s="544"/>
      <c r="Z432" s="544"/>
      <c r="AA432" s="544"/>
      <c r="AE432" s="1054"/>
    </row>
    <row r="433" spans="1:31" ht="21.75" hidden="1" customHeight="1" x14ac:dyDescent="0.15">
      <c r="A433" s="569"/>
      <c r="B433" s="570"/>
      <c r="C433" s="570"/>
      <c r="D433" s="571"/>
      <c r="E433" s="572"/>
      <c r="F433" s="573"/>
      <c r="G433" s="942"/>
      <c r="H433" s="602"/>
      <c r="I433" s="574"/>
      <c r="J433" s="574"/>
      <c r="K433" s="955"/>
      <c r="L433" s="1217" t="s">
        <v>680</v>
      </c>
      <c r="M433" s="912" t="s">
        <v>726</v>
      </c>
      <c r="N433" s="910" t="s">
        <v>988</v>
      </c>
      <c r="O433" s="911">
        <f>'사. 임직원보수 일람표'!L134</f>
        <v>15530</v>
      </c>
      <c r="P433" s="913" t="s">
        <v>724</v>
      </c>
      <c r="Q433" s="923">
        <v>40</v>
      </c>
      <c r="R433" s="913" t="s">
        <v>724</v>
      </c>
      <c r="S433" s="915">
        <f>'사. 임직원보수 일람표'!F134</f>
        <v>6</v>
      </c>
      <c r="T433" s="916" t="s">
        <v>345</v>
      </c>
      <c r="U433" s="917">
        <f t="shared" si="25"/>
        <v>3727200</v>
      </c>
      <c r="Y433" s="544"/>
      <c r="Z433" s="544"/>
      <c r="AA433" s="544"/>
      <c r="AE433" s="1054"/>
    </row>
    <row r="434" spans="1:31" ht="21.75" hidden="1" customHeight="1" x14ac:dyDescent="0.15">
      <c r="A434" s="569"/>
      <c r="B434" s="570"/>
      <c r="C434" s="570"/>
      <c r="D434" s="571"/>
      <c r="E434" s="572"/>
      <c r="F434" s="573"/>
      <c r="G434" s="942"/>
      <c r="H434" s="602"/>
      <c r="I434" s="574"/>
      <c r="J434" s="574"/>
      <c r="K434" s="955"/>
      <c r="L434" s="1217" t="s">
        <v>680</v>
      </c>
      <c r="M434" s="912" t="s">
        <v>726</v>
      </c>
      <c r="N434" s="910" t="s">
        <v>721</v>
      </c>
      <c r="O434" s="911">
        <f>'사. 임직원보수 일람표'!L135</f>
        <v>14200</v>
      </c>
      <c r="P434" s="913" t="s">
        <v>724</v>
      </c>
      <c r="Q434" s="923">
        <v>40</v>
      </c>
      <c r="R434" s="913" t="s">
        <v>724</v>
      </c>
      <c r="S434" s="915">
        <f>'사. 임직원보수 일람표'!F135</f>
        <v>6</v>
      </c>
      <c r="T434" s="916" t="s">
        <v>345</v>
      </c>
      <c r="U434" s="917">
        <f t="shared" si="25"/>
        <v>3408000</v>
      </c>
      <c r="Y434" s="544"/>
      <c r="Z434" s="544"/>
      <c r="AA434" s="544"/>
      <c r="AE434" s="1054"/>
    </row>
    <row r="435" spans="1:31" ht="21.75" hidden="1" customHeight="1" x14ac:dyDescent="0.15">
      <c r="A435" s="569"/>
      <c r="B435" s="570"/>
      <c r="C435" s="570"/>
      <c r="D435" s="571"/>
      <c r="E435" s="572"/>
      <c r="F435" s="573"/>
      <c r="G435" s="942"/>
      <c r="H435" s="602"/>
      <c r="I435" s="574"/>
      <c r="J435" s="574"/>
      <c r="K435" s="955"/>
      <c r="L435" s="1217" t="s">
        <v>680</v>
      </c>
      <c r="M435" s="912" t="s">
        <v>726</v>
      </c>
      <c r="N435" s="910" t="s">
        <v>989</v>
      </c>
      <c r="O435" s="911">
        <f>'사. 임직원보수 일람표'!L136</f>
        <v>14610</v>
      </c>
      <c r="P435" s="913" t="s">
        <v>724</v>
      </c>
      <c r="Q435" s="923">
        <v>40</v>
      </c>
      <c r="R435" s="913" t="s">
        <v>724</v>
      </c>
      <c r="S435" s="915">
        <f>'사. 임직원보수 일람표'!F136</f>
        <v>6</v>
      </c>
      <c r="T435" s="916" t="s">
        <v>345</v>
      </c>
      <c r="U435" s="917">
        <f t="shared" si="25"/>
        <v>3506400</v>
      </c>
      <c r="Y435" s="544"/>
      <c r="Z435" s="544"/>
      <c r="AA435" s="544"/>
      <c r="AE435" s="1054"/>
    </row>
    <row r="436" spans="1:31" ht="21.75" hidden="1" customHeight="1" x14ac:dyDescent="0.15">
      <c r="A436" s="569"/>
      <c r="B436" s="570"/>
      <c r="C436" s="570"/>
      <c r="D436" s="571"/>
      <c r="E436" s="572"/>
      <c r="F436" s="573"/>
      <c r="G436" s="942"/>
      <c r="H436" s="602"/>
      <c r="I436" s="574"/>
      <c r="J436" s="574"/>
      <c r="K436" s="955"/>
      <c r="L436" s="1217" t="s">
        <v>680</v>
      </c>
      <c r="M436" s="912" t="s">
        <v>726</v>
      </c>
      <c r="N436" s="910" t="s">
        <v>990</v>
      </c>
      <c r="O436" s="911">
        <f>'사. 임직원보수 일람표'!L137</f>
        <v>15060</v>
      </c>
      <c r="P436" s="913" t="s">
        <v>724</v>
      </c>
      <c r="Q436" s="923">
        <v>40</v>
      </c>
      <c r="R436" s="913" t="s">
        <v>724</v>
      </c>
      <c r="S436" s="915">
        <f>'사. 임직원보수 일람표'!F137</f>
        <v>10</v>
      </c>
      <c r="T436" s="916" t="s">
        <v>345</v>
      </c>
      <c r="U436" s="917">
        <f t="shared" si="25"/>
        <v>6024000</v>
      </c>
      <c r="Y436" s="544"/>
      <c r="Z436" s="544"/>
      <c r="AA436" s="544"/>
      <c r="AE436" s="1054"/>
    </row>
    <row r="437" spans="1:31" ht="21.75" hidden="1" customHeight="1" x14ac:dyDescent="0.15">
      <c r="A437" s="569"/>
      <c r="B437" s="570"/>
      <c r="C437" s="570"/>
      <c r="D437" s="571"/>
      <c r="E437" s="572"/>
      <c r="F437" s="573"/>
      <c r="G437" s="942"/>
      <c r="H437" s="602"/>
      <c r="I437" s="574"/>
      <c r="J437" s="574"/>
      <c r="K437" s="955"/>
      <c r="L437" s="1217" t="s">
        <v>680</v>
      </c>
      <c r="M437" s="912" t="s">
        <v>726</v>
      </c>
      <c r="N437" s="910" t="s">
        <v>991</v>
      </c>
      <c r="O437" s="911">
        <f>'사. 임직원보수 일람표'!L138</f>
        <v>15530</v>
      </c>
      <c r="P437" s="913" t="s">
        <v>724</v>
      </c>
      <c r="Q437" s="923">
        <v>40</v>
      </c>
      <c r="R437" s="913" t="s">
        <v>724</v>
      </c>
      <c r="S437" s="915">
        <f>'사. 임직원보수 일람표'!F138</f>
        <v>2</v>
      </c>
      <c r="T437" s="916" t="s">
        <v>345</v>
      </c>
      <c r="U437" s="917">
        <f t="shared" si="25"/>
        <v>1242400</v>
      </c>
      <c r="Y437" s="544"/>
      <c r="Z437" s="544"/>
      <c r="AA437" s="544"/>
      <c r="AE437" s="1054"/>
    </row>
    <row r="438" spans="1:31" ht="21.75" hidden="1" customHeight="1" x14ac:dyDescent="0.15">
      <c r="A438" s="569"/>
      <c r="B438" s="570"/>
      <c r="C438" s="570"/>
      <c r="D438" s="571"/>
      <c r="E438" s="572"/>
      <c r="F438" s="573"/>
      <c r="G438" s="942"/>
      <c r="H438" s="602"/>
      <c r="I438" s="574"/>
      <c r="J438" s="574"/>
      <c r="K438" s="955"/>
      <c r="L438" s="1217" t="s">
        <v>680</v>
      </c>
      <c r="M438" s="912" t="s">
        <v>726</v>
      </c>
      <c r="N438" s="910" t="s">
        <v>992</v>
      </c>
      <c r="O438" s="911">
        <f>'사. 임직원보수 일람표'!L139</f>
        <v>15060</v>
      </c>
      <c r="P438" s="913" t="s">
        <v>724</v>
      </c>
      <c r="Q438" s="923">
        <v>40</v>
      </c>
      <c r="R438" s="913" t="s">
        <v>724</v>
      </c>
      <c r="S438" s="915">
        <f>'사. 임직원보수 일람표'!F139</f>
        <v>12</v>
      </c>
      <c r="T438" s="916" t="s">
        <v>345</v>
      </c>
      <c r="U438" s="917">
        <f t="shared" si="25"/>
        <v>7228800</v>
      </c>
      <c r="Y438" s="544"/>
      <c r="Z438" s="544"/>
      <c r="AA438" s="544"/>
      <c r="AE438" s="1054"/>
    </row>
    <row r="439" spans="1:31" ht="21.75" hidden="1" customHeight="1" x14ac:dyDescent="0.15">
      <c r="A439" s="569"/>
      <c r="B439" s="570"/>
      <c r="C439" s="570"/>
      <c r="D439" s="571"/>
      <c r="E439" s="572"/>
      <c r="F439" s="573"/>
      <c r="G439" s="942"/>
      <c r="H439" s="602"/>
      <c r="I439" s="574"/>
      <c r="J439" s="574"/>
      <c r="K439" s="955"/>
      <c r="L439" s="1217" t="s">
        <v>680</v>
      </c>
      <c r="M439" s="912" t="s">
        <v>726</v>
      </c>
      <c r="N439" s="910" t="s">
        <v>723</v>
      </c>
      <c r="O439" s="911">
        <f>'사. 임직원보수 일람표'!L140</f>
        <v>0</v>
      </c>
      <c r="P439" s="913" t="s">
        <v>724</v>
      </c>
      <c r="Q439" s="923">
        <v>40</v>
      </c>
      <c r="R439" s="913" t="s">
        <v>724</v>
      </c>
      <c r="S439" s="915">
        <f>'사. 임직원보수 일람표'!F140</f>
        <v>0</v>
      </c>
      <c r="T439" s="916" t="s">
        <v>345</v>
      </c>
      <c r="U439" s="917">
        <f t="shared" si="25"/>
        <v>0</v>
      </c>
      <c r="Y439" s="544"/>
      <c r="Z439" s="544"/>
      <c r="AA439" s="544"/>
      <c r="AE439" s="1054"/>
    </row>
    <row r="440" spans="1:31" ht="21.75" hidden="1" customHeight="1" x14ac:dyDescent="0.15">
      <c r="A440" s="569"/>
      <c r="B440" s="570"/>
      <c r="C440" s="570"/>
      <c r="D440" s="571"/>
      <c r="E440" s="572"/>
      <c r="F440" s="573"/>
      <c r="G440" s="942"/>
      <c r="H440" s="602"/>
      <c r="I440" s="574"/>
      <c r="J440" s="574"/>
      <c r="K440" s="955"/>
      <c r="L440" s="1217" t="s">
        <v>680</v>
      </c>
      <c r="M440" s="912" t="s">
        <v>726</v>
      </c>
      <c r="N440" s="910" t="s">
        <v>993</v>
      </c>
      <c r="O440" s="911">
        <f>'사. 임직원보수 일람표'!L141</f>
        <v>15060</v>
      </c>
      <c r="P440" s="913" t="s">
        <v>724</v>
      </c>
      <c r="Q440" s="923">
        <v>40</v>
      </c>
      <c r="R440" s="913" t="s">
        <v>724</v>
      </c>
      <c r="S440" s="915">
        <f>'사. 임직원보수 일람표'!F141</f>
        <v>12</v>
      </c>
      <c r="T440" s="916" t="s">
        <v>345</v>
      </c>
      <c r="U440" s="917">
        <f t="shared" si="25"/>
        <v>7228800</v>
      </c>
      <c r="Y440" s="544"/>
      <c r="Z440" s="544"/>
      <c r="AA440" s="544"/>
      <c r="AE440" s="1054"/>
    </row>
    <row r="441" spans="1:31" ht="21.75" hidden="1" customHeight="1" x14ac:dyDescent="0.15">
      <c r="A441" s="569"/>
      <c r="B441" s="570"/>
      <c r="C441" s="570"/>
      <c r="D441" s="571"/>
      <c r="E441" s="572"/>
      <c r="F441" s="573"/>
      <c r="G441" s="942"/>
      <c r="H441" s="602"/>
      <c r="I441" s="574"/>
      <c r="J441" s="574"/>
      <c r="K441" s="955"/>
      <c r="L441" s="1217" t="s">
        <v>680</v>
      </c>
      <c r="M441" s="912" t="s">
        <v>726</v>
      </c>
      <c r="N441" s="910" t="s">
        <v>900</v>
      </c>
      <c r="O441" s="911">
        <f>'사. 임직원보수 일람표'!L142</f>
        <v>0</v>
      </c>
      <c r="P441" s="913" t="s">
        <v>724</v>
      </c>
      <c r="Q441" s="923">
        <v>40</v>
      </c>
      <c r="R441" s="913" t="s">
        <v>724</v>
      </c>
      <c r="S441" s="915">
        <f>'사. 임직원보수 일람표'!F142</f>
        <v>0</v>
      </c>
      <c r="T441" s="916" t="s">
        <v>345</v>
      </c>
      <c r="U441" s="917">
        <f t="shared" si="25"/>
        <v>0</v>
      </c>
      <c r="Y441" s="544"/>
      <c r="Z441" s="544"/>
      <c r="AA441" s="544"/>
      <c r="AE441" s="1054"/>
    </row>
    <row r="442" spans="1:31" ht="21.75" hidden="1" customHeight="1" x14ac:dyDescent="0.15">
      <c r="A442" s="569"/>
      <c r="B442" s="570"/>
      <c r="C442" s="570"/>
      <c r="D442" s="571"/>
      <c r="E442" s="572"/>
      <c r="F442" s="573"/>
      <c r="G442" s="942"/>
      <c r="H442" s="602"/>
      <c r="I442" s="574"/>
      <c r="J442" s="574"/>
      <c r="K442" s="955"/>
      <c r="L442" s="1217" t="s">
        <v>680</v>
      </c>
      <c r="M442" s="912" t="s">
        <v>726</v>
      </c>
      <c r="N442" s="910" t="s">
        <v>994</v>
      </c>
      <c r="O442" s="911">
        <f>'사. 임직원보수 일람표'!L143</f>
        <v>14610</v>
      </c>
      <c r="P442" s="913" t="s">
        <v>724</v>
      </c>
      <c r="Q442" s="923">
        <v>40</v>
      </c>
      <c r="R442" s="913" t="s">
        <v>724</v>
      </c>
      <c r="S442" s="915">
        <f>'사. 임직원보수 일람표'!F143</f>
        <v>5</v>
      </c>
      <c r="T442" s="916" t="s">
        <v>345</v>
      </c>
      <c r="U442" s="917">
        <f t="shared" si="25"/>
        <v>2922000</v>
      </c>
      <c r="Y442" s="544"/>
      <c r="Z442" s="544"/>
      <c r="AA442" s="544"/>
      <c r="AE442" s="1054"/>
    </row>
    <row r="443" spans="1:31" ht="21.75" hidden="1" customHeight="1" x14ac:dyDescent="0.15">
      <c r="A443" s="569"/>
      <c r="B443" s="570"/>
      <c r="C443" s="570"/>
      <c r="D443" s="571"/>
      <c r="E443" s="572"/>
      <c r="F443" s="573"/>
      <c r="G443" s="942"/>
      <c r="H443" s="602"/>
      <c r="I443" s="574"/>
      <c r="J443" s="574"/>
      <c r="K443" s="955"/>
      <c r="L443" s="1217" t="s">
        <v>680</v>
      </c>
      <c r="M443" s="912" t="s">
        <v>726</v>
      </c>
      <c r="N443" s="910" t="s">
        <v>994</v>
      </c>
      <c r="O443" s="911">
        <f>'사. 임직원보수 일람표'!L144</f>
        <v>15060</v>
      </c>
      <c r="P443" s="913" t="s">
        <v>724</v>
      </c>
      <c r="Q443" s="923">
        <v>40</v>
      </c>
      <c r="R443" s="913" t="s">
        <v>724</v>
      </c>
      <c r="S443" s="915">
        <f>'사. 임직원보수 일람표'!F144</f>
        <v>7</v>
      </c>
      <c r="T443" s="916" t="s">
        <v>345</v>
      </c>
      <c r="U443" s="917">
        <f t="shared" si="25"/>
        <v>4216800</v>
      </c>
      <c r="Y443" s="544"/>
      <c r="Z443" s="544"/>
      <c r="AA443" s="544"/>
      <c r="AE443" s="1054"/>
    </row>
    <row r="444" spans="1:31" ht="21.75" hidden="1" customHeight="1" x14ac:dyDescent="0.15">
      <c r="A444" s="569"/>
      <c r="B444" s="570"/>
      <c r="C444" s="570"/>
      <c r="D444" s="571"/>
      <c r="E444" s="572"/>
      <c r="F444" s="573"/>
      <c r="G444" s="942"/>
      <c r="H444" s="602"/>
      <c r="I444" s="574"/>
      <c r="J444" s="574"/>
      <c r="K444" s="955"/>
      <c r="L444" s="1217" t="s">
        <v>680</v>
      </c>
      <c r="M444" s="912" t="s">
        <v>726</v>
      </c>
      <c r="N444" s="910" t="s">
        <v>995</v>
      </c>
      <c r="O444" s="911">
        <f>'사. 임직원보수 일람표'!L145</f>
        <v>14200</v>
      </c>
      <c r="P444" s="913" t="s">
        <v>724</v>
      </c>
      <c r="Q444" s="923">
        <v>40</v>
      </c>
      <c r="R444" s="913" t="s">
        <v>724</v>
      </c>
      <c r="S444" s="915">
        <f>'사. 임직원보수 일람표'!F145</f>
        <v>2</v>
      </c>
      <c r="T444" s="916" t="s">
        <v>345</v>
      </c>
      <c r="U444" s="917">
        <f t="shared" si="25"/>
        <v>1136000</v>
      </c>
      <c r="Y444" s="544"/>
      <c r="Z444" s="544"/>
      <c r="AA444" s="544"/>
      <c r="AE444" s="1054"/>
    </row>
    <row r="445" spans="1:31" ht="21.75" hidden="1" customHeight="1" x14ac:dyDescent="0.15">
      <c r="A445" s="569"/>
      <c r="B445" s="570"/>
      <c r="C445" s="570"/>
      <c r="D445" s="571"/>
      <c r="E445" s="572"/>
      <c r="F445" s="573"/>
      <c r="G445" s="942"/>
      <c r="H445" s="602"/>
      <c r="I445" s="574"/>
      <c r="J445" s="574"/>
      <c r="K445" s="955"/>
      <c r="L445" s="1217" t="s">
        <v>680</v>
      </c>
      <c r="M445" s="912" t="s">
        <v>726</v>
      </c>
      <c r="N445" s="910" t="s">
        <v>902</v>
      </c>
      <c r="O445" s="911">
        <f>'사. 임직원보수 일람표'!L146</f>
        <v>14610</v>
      </c>
      <c r="P445" s="913" t="s">
        <v>724</v>
      </c>
      <c r="Q445" s="923">
        <v>40</v>
      </c>
      <c r="R445" s="913" t="s">
        <v>724</v>
      </c>
      <c r="S445" s="915">
        <f>'사. 임직원보수 일람표'!F146</f>
        <v>10</v>
      </c>
      <c r="T445" s="916" t="s">
        <v>345</v>
      </c>
      <c r="U445" s="917">
        <f t="shared" si="25"/>
        <v>5844000</v>
      </c>
      <c r="V445" s="544">
        <f>SUM(U422:U445)</f>
        <v>85782800</v>
      </c>
      <c r="W445" s="544">
        <f>V445-'사. 임직원보수 일람표'!M149</f>
        <v>0</v>
      </c>
      <c r="Y445" s="544"/>
      <c r="Z445" s="544"/>
      <c r="AA445" s="544"/>
      <c r="AE445" s="1054"/>
    </row>
    <row r="446" spans="1:31" ht="21.75" hidden="1" customHeight="1" x14ac:dyDescent="0.15">
      <c r="A446" s="569"/>
      <c r="B446" s="570"/>
      <c r="C446" s="570"/>
      <c r="D446" s="571"/>
      <c r="E446" s="572"/>
      <c r="F446" s="573"/>
      <c r="G446" s="942"/>
      <c r="H446" s="602"/>
      <c r="I446" s="574"/>
      <c r="J446" s="574"/>
      <c r="K446" s="955"/>
      <c r="L446" s="1217" t="s">
        <v>916</v>
      </c>
      <c r="M446" s="912" t="s">
        <v>910</v>
      </c>
      <c r="N446" s="910" t="s">
        <v>919</v>
      </c>
      <c r="O446" s="911">
        <f>'사. 임직원보수 일람표'!L155</f>
        <v>17810</v>
      </c>
      <c r="P446" s="913" t="s">
        <v>724</v>
      </c>
      <c r="Q446" s="923">
        <v>13</v>
      </c>
      <c r="R446" s="913" t="s">
        <v>724</v>
      </c>
      <c r="S446" s="915">
        <f>'사. 임직원보수 일람표'!F155</f>
        <v>2</v>
      </c>
      <c r="T446" s="916" t="s">
        <v>345</v>
      </c>
      <c r="U446" s="917">
        <f t="shared" si="25"/>
        <v>463060</v>
      </c>
      <c r="Y446" s="544"/>
      <c r="Z446" s="544"/>
      <c r="AA446" s="544"/>
      <c r="AE446" s="1054"/>
    </row>
    <row r="447" spans="1:31" ht="21.75" hidden="1" customHeight="1" x14ac:dyDescent="0.15">
      <c r="A447" s="569"/>
      <c r="B447" s="570"/>
      <c r="C447" s="570"/>
      <c r="D447" s="571"/>
      <c r="E447" s="572"/>
      <c r="F447" s="573"/>
      <c r="G447" s="942"/>
      <c r="H447" s="602"/>
      <c r="I447" s="574"/>
      <c r="J447" s="574"/>
      <c r="K447" s="955"/>
      <c r="L447" s="1217" t="s">
        <v>916</v>
      </c>
      <c r="M447" s="912" t="s">
        <v>910</v>
      </c>
      <c r="N447" s="910" t="s">
        <v>919</v>
      </c>
      <c r="O447" s="911">
        <f>'사. 임직원보수 일람표'!L156</f>
        <v>18710</v>
      </c>
      <c r="P447" s="913" t="s">
        <v>724</v>
      </c>
      <c r="Q447" s="923">
        <v>13</v>
      </c>
      <c r="R447" s="913" t="s">
        <v>724</v>
      </c>
      <c r="S447" s="915">
        <f>'사. 임직원보수 일람표'!F156</f>
        <v>10</v>
      </c>
      <c r="T447" s="916" t="s">
        <v>345</v>
      </c>
      <c r="U447" s="917">
        <f t="shared" si="25"/>
        <v>2432300</v>
      </c>
      <c r="Y447" s="544"/>
      <c r="Z447" s="544"/>
      <c r="AA447" s="544"/>
      <c r="AE447" s="1054"/>
    </row>
    <row r="448" spans="1:31" ht="21.75" hidden="1" customHeight="1" x14ac:dyDescent="0.15">
      <c r="A448" s="569"/>
      <c r="B448" s="570"/>
      <c r="C448" s="570"/>
      <c r="D448" s="571"/>
      <c r="E448" s="572"/>
      <c r="F448" s="573"/>
      <c r="G448" s="942"/>
      <c r="H448" s="602"/>
      <c r="I448" s="574"/>
      <c r="J448" s="574"/>
      <c r="K448" s="955"/>
      <c r="L448" s="1217" t="s">
        <v>908</v>
      </c>
      <c r="M448" s="912" t="s">
        <v>909</v>
      </c>
      <c r="N448" s="910" t="s">
        <v>688</v>
      </c>
      <c r="O448" s="911">
        <f>'사. 임직원보수 일람표'!L157</f>
        <v>18780</v>
      </c>
      <c r="P448" s="913" t="s">
        <v>724</v>
      </c>
      <c r="Q448" s="923">
        <v>13</v>
      </c>
      <c r="R448" s="913" t="s">
        <v>724</v>
      </c>
      <c r="S448" s="915">
        <f>'사. 임직원보수 일람표'!F157</f>
        <v>3</v>
      </c>
      <c r="T448" s="916" t="s">
        <v>345</v>
      </c>
      <c r="U448" s="917">
        <f t="shared" si="25"/>
        <v>732420</v>
      </c>
      <c r="Y448" s="544"/>
      <c r="Z448" s="544"/>
      <c r="AA448" s="544"/>
      <c r="AE448" s="1054"/>
    </row>
    <row r="449" spans="1:31" ht="21.75" hidden="1" customHeight="1" x14ac:dyDescent="0.15">
      <c r="A449" s="569"/>
      <c r="B449" s="570"/>
      <c r="C449" s="570"/>
      <c r="D449" s="571"/>
      <c r="E449" s="572"/>
      <c r="F449" s="573"/>
      <c r="G449" s="942"/>
      <c r="H449" s="602"/>
      <c r="I449" s="574"/>
      <c r="J449" s="574"/>
      <c r="K449" s="955"/>
      <c r="L449" s="1217" t="s">
        <v>908</v>
      </c>
      <c r="M449" s="912" t="s">
        <v>910</v>
      </c>
      <c r="N449" s="910" t="s">
        <v>924</v>
      </c>
      <c r="O449" s="911">
        <f>'사. 임직원보수 일람표'!L158</f>
        <v>19140</v>
      </c>
      <c r="P449" s="913" t="s">
        <v>724</v>
      </c>
      <c r="Q449" s="923">
        <v>13</v>
      </c>
      <c r="R449" s="913" t="s">
        <v>724</v>
      </c>
      <c r="S449" s="915">
        <f>'사. 임직원보수 일람표'!F158</f>
        <v>9</v>
      </c>
      <c r="T449" s="916" t="s">
        <v>345</v>
      </c>
      <c r="U449" s="917">
        <f t="shared" si="25"/>
        <v>2239380</v>
      </c>
      <c r="V449" s="544">
        <f>SUM(U446:U449)</f>
        <v>5867160</v>
      </c>
      <c r="W449" s="544">
        <f>V449-'사. 임직원보수 일람표'!M161</f>
        <v>0</v>
      </c>
      <c r="Y449" s="544"/>
      <c r="Z449" s="544"/>
      <c r="AA449" s="544"/>
      <c r="AE449" s="1054"/>
    </row>
    <row r="450" spans="1:31" ht="21.75" hidden="1" customHeight="1" x14ac:dyDescent="0.15">
      <c r="A450" s="569"/>
      <c r="B450" s="570"/>
      <c r="C450" s="570"/>
      <c r="D450" s="571"/>
      <c r="E450" s="572"/>
      <c r="F450" s="573"/>
      <c r="G450" s="942"/>
      <c r="H450" s="602"/>
      <c r="I450" s="574"/>
      <c r="J450" s="574"/>
      <c r="K450" s="955"/>
      <c r="L450" s="1217"/>
      <c r="M450" s="912"/>
      <c r="N450" s="910"/>
      <c r="O450" s="911"/>
      <c r="P450" s="913"/>
      <c r="Q450" s="923"/>
      <c r="R450" s="913"/>
      <c r="S450" s="915"/>
      <c r="T450" s="916"/>
      <c r="U450" s="917"/>
      <c r="Y450" s="544"/>
      <c r="Z450" s="544"/>
      <c r="AA450" s="544"/>
      <c r="AE450" s="1054"/>
    </row>
    <row r="451" spans="1:31" ht="21.75" customHeight="1" x14ac:dyDescent="0.15">
      <c r="A451" s="569"/>
      <c r="B451" s="570"/>
      <c r="C451" s="570"/>
      <c r="D451" s="571"/>
      <c r="E451" s="572"/>
      <c r="F451" s="573"/>
      <c r="G451" s="942"/>
      <c r="H451" s="602"/>
      <c r="I451" s="574"/>
      <c r="J451" s="574"/>
      <c r="K451" s="955"/>
      <c r="L451" s="1216" t="s">
        <v>1009</v>
      </c>
      <c r="M451" s="1397" t="s">
        <v>735</v>
      </c>
      <c r="N451" s="1397"/>
      <c r="O451" s="1397"/>
      <c r="P451" s="1397"/>
      <c r="Q451" s="1397"/>
      <c r="R451" s="1397"/>
      <c r="S451" s="1397"/>
      <c r="T451" s="1397"/>
      <c r="U451" s="979">
        <f>SUM(U452:U577)</f>
        <v>78086400</v>
      </c>
      <c r="AE451" s="1054"/>
    </row>
    <row r="452" spans="1:31" ht="21.75" hidden="1" customHeight="1" x14ac:dyDescent="0.15">
      <c r="A452" s="569"/>
      <c r="B452" s="570"/>
      <c r="C452" s="570"/>
      <c r="D452" s="571"/>
      <c r="E452" s="572"/>
      <c r="F452" s="573"/>
      <c r="G452" s="942"/>
      <c r="H452" s="602"/>
      <c r="I452" s="574"/>
      <c r="J452" s="574"/>
      <c r="K452" s="955"/>
      <c r="L452" s="1217" t="s">
        <v>655</v>
      </c>
      <c r="M452" s="910" t="s">
        <v>655</v>
      </c>
      <c r="N452" s="910" t="s">
        <v>1048</v>
      </c>
      <c r="O452" s="911">
        <f>'사. 임직원보수 일람표'!L5</f>
        <v>29780</v>
      </c>
      <c r="P452" s="913" t="s">
        <v>733</v>
      </c>
      <c r="Q452" s="923">
        <v>0</v>
      </c>
      <c r="R452" s="913" t="s">
        <v>724</v>
      </c>
      <c r="S452" s="1167">
        <v>15</v>
      </c>
      <c r="T452" s="916" t="s">
        <v>345</v>
      </c>
      <c r="U452" s="917">
        <f>O452*Q452*S452</f>
        <v>0</v>
      </c>
      <c r="Y452" s="544"/>
      <c r="Z452" s="544"/>
      <c r="AA452" s="544"/>
      <c r="AE452" s="1054"/>
    </row>
    <row r="453" spans="1:31" ht="21.75" hidden="1" customHeight="1" x14ac:dyDescent="0.15">
      <c r="A453" s="569"/>
      <c r="B453" s="570"/>
      <c r="C453" s="570"/>
      <c r="D453" s="571"/>
      <c r="E453" s="572"/>
      <c r="F453" s="573"/>
      <c r="G453" s="942"/>
      <c r="H453" s="602"/>
      <c r="I453" s="574"/>
      <c r="J453" s="574"/>
      <c r="K453" s="955"/>
      <c r="L453" s="1217" t="s">
        <v>1010</v>
      </c>
      <c r="M453" s="910" t="s">
        <v>1010</v>
      </c>
      <c r="N453" s="910" t="s">
        <v>1049</v>
      </c>
      <c r="O453" s="911">
        <f>'사. 임직원보수 일람표'!L6</f>
        <v>30310</v>
      </c>
      <c r="P453" s="913" t="s">
        <v>1012</v>
      </c>
      <c r="Q453" s="923">
        <v>0</v>
      </c>
      <c r="R453" s="913" t="s">
        <v>1011</v>
      </c>
      <c r="S453" s="1167">
        <f>S452</f>
        <v>15</v>
      </c>
      <c r="T453" s="916" t="s">
        <v>1050</v>
      </c>
      <c r="U453" s="917">
        <f>O453*Q453*S453</f>
        <v>0</v>
      </c>
      <c r="Y453" s="544"/>
      <c r="Z453" s="544"/>
      <c r="AA453" s="544"/>
      <c r="AE453" s="1054"/>
    </row>
    <row r="454" spans="1:31" ht="21.75" hidden="1" customHeight="1" x14ac:dyDescent="0.15">
      <c r="A454" s="569"/>
      <c r="B454" s="570"/>
      <c r="C454" s="570"/>
      <c r="D454" s="571"/>
      <c r="E454" s="572"/>
      <c r="F454" s="573"/>
      <c r="G454" s="942"/>
      <c r="H454" s="602"/>
      <c r="I454" s="574"/>
      <c r="J454" s="574"/>
      <c r="K454" s="955"/>
      <c r="L454" s="1217" t="s">
        <v>657</v>
      </c>
      <c r="M454" s="910" t="s">
        <v>1051</v>
      </c>
      <c r="N454" s="910" t="s">
        <v>1052</v>
      </c>
      <c r="O454" s="911">
        <f>'사. 임직원보수 일람표'!L7</f>
        <v>29320</v>
      </c>
      <c r="P454" s="913" t="s">
        <v>1012</v>
      </c>
      <c r="Q454" s="923">
        <v>0</v>
      </c>
      <c r="R454" s="913" t="s">
        <v>1012</v>
      </c>
      <c r="S454" s="1167">
        <f t="shared" ref="S454:S517" si="27">S453</f>
        <v>15</v>
      </c>
      <c r="T454" s="916" t="s">
        <v>1016</v>
      </c>
      <c r="U454" s="917">
        <f t="shared" ref="U454:U459" si="28">O454*Q454*S454</f>
        <v>0</v>
      </c>
      <c r="Y454" s="544"/>
      <c r="Z454" s="544"/>
      <c r="AA454" s="544"/>
      <c r="AE454" s="1054"/>
    </row>
    <row r="455" spans="1:31" ht="21.75" hidden="1" customHeight="1" x14ac:dyDescent="0.15">
      <c r="A455" s="569"/>
      <c r="B455" s="570"/>
      <c r="C455" s="570"/>
      <c r="D455" s="571"/>
      <c r="E455" s="572"/>
      <c r="F455" s="573"/>
      <c r="G455" s="942"/>
      <c r="H455" s="602"/>
      <c r="I455" s="574"/>
      <c r="J455" s="574"/>
      <c r="K455" s="955"/>
      <c r="L455" s="1217" t="s">
        <v>1013</v>
      </c>
      <c r="M455" s="910" t="s">
        <v>1013</v>
      </c>
      <c r="N455" s="910" t="s">
        <v>1014</v>
      </c>
      <c r="O455" s="911">
        <f>'사. 임직원보수 일람표'!L8</f>
        <v>29700</v>
      </c>
      <c r="P455" s="913" t="s">
        <v>1012</v>
      </c>
      <c r="Q455" s="923">
        <v>0</v>
      </c>
      <c r="R455" s="913" t="s">
        <v>724</v>
      </c>
      <c r="S455" s="1167">
        <f t="shared" si="27"/>
        <v>15</v>
      </c>
      <c r="T455" s="916" t="s">
        <v>1016</v>
      </c>
      <c r="U455" s="917">
        <f t="shared" si="28"/>
        <v>0</v>
      </c>
      <c r="Y455" s="544"/>
      <c r="Z455" s="544"/>
      <c r="AA455" s="544"/>
      <c r="AE455" s="1054"/>
    </row>
    <row r="456" spans="1:31" ht="21.75" hidden="1" customHeight="1" x14ac:dyDescent="0.15">
      <c r="A456" s="569"/>
      <c r="B456" s="570"/>
      <c r="C456" s="570"/>
      <c r="D456" s="571"/>
      <c r="E456" s="572"/>
      <c r="F456" s="573"/>
      <c r="G456" s="942"/>
      <c r="H456" s="602"/>
      <c r="I456" s="574"/>
      <c r="J456" s="574"/>
      <c r="K456" s="955"/>
      <c r="L456" s="1217" t="s">
        <v>659</v>
      </c>
      <c r="M456" s="910" t="s">
        <v>1025</v>
      </c>
      <c r="N456" s="910" t="s">
        <v>1015</v>
      </c>
      <c r="O456" s="911">
        <f>'사. 임직원보수 일람표'!L9</f>
        <v>25890</v>
      </c>
      <c r="P456" s="913" t="s">
        <v>724</v>
      </c>
      <c r="Q456" s="923">
        <v>0</v>
      </c>
      <c r="R456" s="913" t="s">
        <v>1011</v>
      </c>
      <c r="S456" s="1167">
        <f t="shared" si="27"/>
        <v>15</v>
      </c>
      <c r="T456" s="916" t="s">
        <v>1050</v>
      </c>
      <c r="U456" s="917">
        <f t="shared" si="28"/>
        <v>0</v>
      </c>
      <c r="Y456" s="544"/>
      <c r="Z456" s="544"/>
      <c r="AA456" s="544"/>
      <c r="AE456" s="1054"/>
    </row>
    <row r="457" spans="1:31" ht="21.75" hidden="1" customHeight="1" x14ac:dyDescent="0.15">
      <c r="A457" s="569"/>
      <c r="B457" s="570"/>
      <c r="C457" s="570"/>
      <c r="D457" s="571"/>
      <c r="E457" s="572"/>
      <c r="F457" s="573"/>
      <c r="G457" s="942"/>
      <c r="H457" s="602"/>
      <c r="I457" s="574"/>
      <c r="J457" s="574"/>
      <c r="K457" s="955"/>
      <c r="L457" s="1217" t="s">
        <v>1053</v>
      </c>
      <c r="M457" s="910" t="s">
        <v>1054</v>
      </c>
      <c r="N457" s="910" t="s">
        <v>661</v>
      </c>
      <c r="O457" s="911">
        <f>'사. 임직원보수 일람표'!L10</f>
        <v>26300</v>
      </c>
      <c r="P457" s="913" t="s">
        <v>724</v>
      </c>
      <c r="Q457" s="923">
        <v>0</v>
      </c>
      <c r="R457" s="913" t="s">
        <v>1011</v>
      </c>
      <c r="S457" s="1167">
        <f t="shared" si="27"/>
        <v>15</v>
      </c>
      <c r="T457" s="916" t="s">
        <v>1016</v>
      </c>
      <c r="U457" s="917">
        <f t="shared" si="28"/>
        <v>0</v>
      </c>
      <c r="Y457" s="544"/>
      <c r="Z457" s="544"/>
      <c r="AA457" s="544"/>
      <c r="AE457" s="1054"/>
    </row>
    <row r="458" spans="1:31" ht="21.75" hidden="1" customHeight="1" x14ac:dyDescent="0.15">
      <c r="A458" s="569"/>
      <c r="B458" s="570"/>
      <c r="C458" s="570"/>
      <c r="D458" s="571"/>
      <c r="E458" s="572"/>
      <c r="F458" s="573"/>
      <c r="G458" s="942"/>
      <c r="H458" s="602"/>
      <c r="I458" s="574"/>
      <c r="J458" s="574"/>
      <c r="K458" s="955"/>
      <c r="L458" s="1217" t="s">
        <v>1055</v>
      </c>
      <c r="M458" s="910" t="s">
        <v>663</v>
      </c>
      <c r="N458" s="910" t="s">
        <v>1019</v>
      </c>
      <c r="O458" s="911">
        <f>'사. 임직원보수 일람표'!L11</f>
        <v>28280</v>
      </c>
      <c r="P458" s="913" t="s">
        <v>1012</v>
      </c>
      <c r="Q458" s="923">
        <v>0</v>
      </c>
      <c r="R458" s="913" t="s">
        <v>1012</v>
      </c>
      <c r="S458" s="1167">
        <f t="shared" si="27"/>
        <v>15</v>
      </c>
      <c r="T458" s="916" t="s">
        <v>1016</v>
      </c>
      <c r="U458" s="917">
        <f t="shared" si="28"/>
        <v>0</v>
      </c>
      <c r="Y458" s="544"/>
      <c r="Z458" s="544"/>
      <c r="AA458" s="544"/>
      <c r="AE458" s="1054"/>
    </row>
    <row r="459" spans="1:31" ht="21.75" hidden="1" customHeight="1" x14ac:dyDescent="0.15">
      <c r="A459" s="569"/>
      <c r="B459" s="570"/>
      <c r="C459" s="570"/>
      <c r="D459" s="571"/>
      <c r="E459" s="572"/>
      <c r="F459" s="573"/>
      <c r="G459" s="942"/>
      <c r="H459" s="602"/>
      <c r="I459" s="574"/>
      <c r="J459" s="574"/>
      <c r="K459" s="955"/>
      <c r="L459" s="1217" t="s">
        <v>1017</v>
      </c>
      <c r="M459" s="910" t="s">
        <v>1018</v>
      </c>
      <c r="N459" s="910" t="s">
        <v>1019</v>
      </c>
      <c r="O459" s="911">
        <f>'사. 임직원보수 일람표'!L12</f>
        <v>28530</v>
      </c>
      <c r="P459" s="913" t="s">
        <v>724</v>
      </c>
      <c r="Q459" s="923">
        <v>0</v>
      </c>
      <c r="R459" s="913" t="s">
        <v>1012</v>
      </c>
      <c r="S459" s="1167">
        <f t="shared" si="27"/>
        <v>15</v>
      </c>
      <c r="T459" s="916" t="s">
        <v>1016</v>
      </c>
      <c r="U459" s="917">
        <f t="shared" si="28"/>
        <v>0</v>
      </c>
      <c r="Y459" s="544"/>
      <c r="Z459" s="544"/>
      <c r="AA459" s="544"/>
      <c r="AE459" s="1054"/>
    </row>
    <row r="460" spans="1:31" ht="21.75" hidden="1" customHeight="1" x14ac:dyDescent="0.15">
      <c r="A460" s="569"/>
      <c r="B460" s="570"/>
      <c r="C460" s="570"/>
      <c r="D460" s="571"/>
      <c r="E460" s="572"/>
      <c r="F460" s="573"/>
      <c r="G460" s="942"/>
      <c r="H460" s="602"/>
      <c r="I460" s="574"/>
      <c r="J460" s="574"/>
      <c r="K460" s="955"/>
      <c r="L460" s="1217" t="s">
        <v>1020</v>
      </c>
      <c r="M460" s="910" t="s">
        <v>1018</v>
      </c>
      <c r="N460" s="910" t="s">
        <v>1021</v>
      </c>
      <c r="O460" s="911">
        <f>'사. 임직원보수 일람표'!L13</f>
        <v>21900</v>
      </c>
      <c r="P460" s="913" t="s">
        <v>1011</v>
      </c>
      <c r="Q460" s="923">
        <v>0</v>
      </c>
      <c r="R460" s="913" t="s">
        <v>724</v>
      </c>
      <c r="S460" s="1167">
        <f t="shared" si="27"/>
        <v>15</v>
      </c>
      <c r="T460" s="916" t="s">
        <v>1016</v>
      </c>
      <c r="U460" s="917">
        <f>O460*Q460*S460</f>
        <v>0</v>
      </c>
      <c r="Y460" s="544"/>
      <c r="Z460" s="544"/>
      <c r="AA460" s="544"/>
      <c r="AE460" s="1054"/>
    </row>
    <row r="461" spans="1:31" ht="21.75" hidden="1" customHeight="1" x14ac:dyDescent="0.15">
      <c r="A461" s="569"/>
      <c r="B461" s="570"/>
      <c r="C461" s="570"/>
      <c r="D461" s="571"/>
      <c r="E461" s="572"/>
      <c r="F461" s="573"/>
      <c r="G461" s="942"/>
      <c r="H461" s="602"/>
      <c r="I461" s="574"/>
      <c r="J461" s="574"/>
      <c r="K461" s="955"/>
      <c r="L461" s="1217" t="s">
        <v>1020</v>
      </c>
      <c r="M461" s="910" t="s">
        <v>1018</v>
      </c>
      <c r="N461" s="910" t="s">
        <v>1021</v>
      </c>
      <c r="O461" s="911">
        <f>'사. 임직원보수 일람표'!L14</f>
        <v>22360</v>
      </c>
      <c r="P461" s="913" t="s">
        <v>1011</v>
      </c>
      <c r="Q461" s="923">
        <v>0</v>
      </c>
      <c r="R461" s="913" t="s">
        <v>1011</v>
      </c>
      <c r="S461" s="1167">
        <f t="shared" si="27"/>
        <v>15</v>
      </c>
      <c r="T461" s="916" t="s">
        <v>1050</v>
      </c>
      <c r="U461" s="917">
        <f t="shared" ref="U461:U506" si="29">O461*Q461*S461</f>
        <v>0</v>
      </c>
      <c r="Y461" s="544"/>
      <c r="Z461" s="544"/>
      <c r="AA461" s="544"/>
      <c r="AE461" s="1054"/>
    </row>
    <row r="462" spans="1:31" ht="21.75" hidden="1" customHeight="1" x14ac:dyDescent="0.15">
      <c r="A462" s="569"/>
      <c r="B462" s="570"/>
      <c r="C462" s="570"/>
      <c r="D462" s="571"/>
      <c r="E462" s="572"/>
      <c r="F462" s="573"/>
      <c r="G462" s="942"/>
      <c r="H462" s="602"/>
      <c r="I462" s="574"/>
      <c r="J462" s="574"/>
      <c r="K462" s="955"/>
      <c r="L462" s="1217" t="s">
        <v>1056</v>
      </c>
      <c r="M462" s="910" t="s">
        <v>1018</v>
      </c>
      <c r="N462" s="910" t="s">
        <v>1263</v>
      </c>
      <c r="O462" s="911">
        <f>'사. 임직원보수 일람표'!L15</f>
        <v>23000</v>
      </c>
      <c r="P462" s="913" t="s">
        <v>724</v>
      </c>
      <c r="Q462" s="923">
        <v>0</v>
      </c>
      <c r="R462" s="913" t="s">
        <v>724</v>
      </c>
      <c r="S462" s="1167">
        <f t="shared" si="27"/>
        <v>15</v>
      </c>
      <c r="T462" s="916" t="s">
        <v>1057</v>
      </c>
      <c r="U462" s="917">
        <f t="shared" si="29"/>
        <v>0</v>
      </c>
      <c r="Y462" s="544"/>
      <c r="Z462" s="544"/>
      <c r="AA462" s="544"/>
      <c r="AE462" s="1054"/>
    </row>
    <row r="463" spans="1:31" ht="21.75" hidden="1" customHeight="1" x14ac:dyDescent="0.15">
      <c r="A463" s="569"/>
      <c r="B463" s="570"/>
      <c r="C463" s="570"/>
      <c r="D463" s="571"/>
      <c r="E463" s="572"/>
      <c r="F463" s="573"/>
      <c r="G463" s="942"/>
      <c r="H463" s="602"/>
      <c r="I463" s="574"/>
      <c r="J463" s="574"/>
      <c r="K463" s="955"/>
      <c r="L463" s="1217" t="s">
        <v>1058</v>
      </c>
      <c r="M463" s="910" t="s">
        <v>663</v>
      </c>
      <c r="N463" s="910" t="s">
        <v>1263</v>
      </c>
      <c r="O463" s="911">
        <f>'사. 임직원보수 일람표'!L16</f>
        <v>23540</v>
      </c>
      <c r="P463" s="913" t="s">
        <v>724</v>
      </c>
      <c r="Q463" s="923">
        <v>0</v>
      </c>
      <c r="R463" s="913" t="s">
        <v>724</v>
      </c>
      <c r="S463" s="1167">
        <f t="shared" si="27"/>
        <v>15</v>
      </c>
      <c r="T463" s="916" t="s">
        <v>1050</v>
      </c>
      <c r="U463" s="917">
        <f t="shared" si="29"/>
        <v>0</v>
      </c>
      <c r="Y463" s="544"/>
      <c r="Z463" s="544"/>
      <c r="AA463" s="544"/>
      <c r="AE463" s="1054"/>
    </row>
    <row r="464" spans="1:31" ht="21.75" hidden="1" customHeight="1" x14ac:dyDescent="0.15">
      <c r="A464" s="569"/>
      <c r="B464" s="570"/>
      <c r="C464" s="570"/>
      <c r="D464" s="571"/>
      <c r="E464" s="572"/>
      <c r="F464" s="573"/>
      <c r="G464" s="942"/>
      <c r="H464" s="602"/>
      <c r="I464" s="574"/>
      <c r="J464" s="574"/>
      <c r="K464" s="955"/>
      <c r="L464" s="1217" t="s">
        <v>1059</v>
      </c>
      <c r="M464" s="910"/>
      <c r="N464" s="910" t="s">
        <v>1023</v>
      </c>
      <c r="O464" s="911">
        <f>'사. 임직원보수 일람표'!L17</f>
        <v>23540</v>
      </c>
      <c r="P464" s="913" t="s">
        <v>724</v>
      </c>
      <c r="Q464" s="923">
        <v>0</v>
      </c>
      <c r="R464" s="913" t="s">
        <v>1012</v>
      </c>
      <c r="S464" s="1167">
        <f t="shared" si="27"/>
        <v>15</v>
      </c>
      <c r="T464" s="916" t="s">
        <v>1016</v>
      </c>
      <c r="U464" s="917">
        <f t="shared" si="29"/>
        <v>0</v>
      </c>
      <c r="Y464" s="544"/>
      <c r="Z464" s="544"/>
      <c r="AA464" s="544"/>
      <c r="AE464" s="1054"/>
    </row>
    <row r="465" spans="1:31" ht="21.75" hidden="1" customHeight="1" x14ac:dyDescent="0.15">
      <c r="A465" s="569"/>
      <c r="B465" s="570"/>
      <c r="C465" s="570"/>
      <c r="D465" s="571"/>
      <c r="E465" s="572"/>
      <c r="F465" s="573"/>
      <c r="G465" s="942"/>
      <c r="H465" s="602"/>
      <c r="I465" s="574"/>
      <c r="J465" s="574"/>
      <c r="K465" s="955"/>
      <c r="L465" s="1217" t="s">
        <v>1022</v>
      </c>
      <c r="M465" s="910"/>
      <c r="N465" s="910" t="s">
        <v>1023</v>
      </c>
      <c r="O465" s="911">
        <f>'사. 임직원보수 일람표'!L18</f>
        <v>24060</v>
      </c>
      <c r="P465" s="913" t="s">
        <v>724</v>
      </c>
      <c r="Q465" s="923">
        <v>0</v>
      </c>
      <c r="R465" s="913" t="s">
        <v>724</v>
      </c>
      <c r="S465" s="1167">
        <f t="shared" si="27"/>
        <v>15</v>
      </c>
      <c r="T465" s="916" t="s">
        <v>345</v>
      </c>
      <c r="U465" s="917">
        <f t="shared" si="29"/>
        <v>0</v>
      </c>
      <c r="Y465" s="544"/>
      <c r="Z465" s="544"/>
      <c r="AA465" s="544"/>
      <c r="AE465" s="1054"/>
    </row>
    <row r="466" spans="1:31" ht="21.75" hidden="1" customHeight="1" x14ac:dyDescent="0.15">
      <c r="A466" s="569"/>
      <c r="B466" s="570"/>
      <c r="C466" s="570"/>
      <c r="D466" s="571"/>
      <c r="E466" s="572"/>
      <c r="F466" s="573"/>
      <c r="G466" s="942"/>
      <c r="H466" s="602"/>
      <c r="I466" s="574"/>
      <c r="J466" s="574"/>
      <c r="K466" s="955"/>
      <c r="L466" s="1217" t="s">
        <v>1060</v>
      </c>
      <c r="M466" s="910"/>
      <c r="N466" s="910" t="s">
        <v>653</v>
      </c>
      <c r="O466" s="911">
        <f>'사. 임직원보수 일람표'!L19</f>
        <v>19460</v>
      </c>
      <c r="P466" s="913" t="s">
        <v>1011</v>
      </c>
      <c r="Q466" s="923">
        <v>0</v>
      </c>
      <c r="R466" s="913" t="s">
        <v>1011</v>
      </c>
      <c r="S466" s="1167">
        <f t="shared" si="27"/>
        <v>15</v>
      </c>
      <c r="T466" s="916" t="s">
        <v>345</v>
      </c>
      <c r="U466" s="917">
        <f t="shared" si="29"/>
        <v>0</v>
      </c>
      <c r="Y466" s="544"/>
      <c r="Z466" s="544"/>
      <c r="AA466" s="544"/>
      <c r="AE466" s="1054"/>
    </row>
    <row r="467" spans="1:31" ht="21.75" hidden="1" customHeight="1" x14ac:dyDescent="0.15">
      <c r="A467" s="569"/>
      <c r="B467" s="570"/>
      <c r="C467" s="570"/>
      <c r="D467" s="571"/>
      <c r="E467" s="572"/>
      <c r="F467" s="573"/>
      <c r="G467" s="942"/>
      <c r="H467" s="602"/>
      <c r="I467" s="574"/>
      <c r="J467" s="574"/>
      <c r="K467" s="955"/>
      <c r="L467" s="1217" t="s">
        <v>670</v>
      </c>
      <c r="M467" s="910"/>
      <c r="N467" s="910" t="s">
        <v>1061</v>
      </c>
      <c r="O467" s="911">
        <f>'사. 임직원보수 일람표'!L20</f>
        <v>20300</v>
      </c>
      <c r="P467" s="913" t="s">
        <v>724</v>
      </c>
      <c r="Q467" s="923">
        <v>0</v>
      </c>
      <c r="R467" s="913" t="s">
        <v>1011</v>
      </c>
      <c r="S467" s="1167">
        <f t="shared" si="27"/>
        <v>15</v>
      </c>
      <c r="T467" s="916" t="s">
        <v>1050</v>
      </c>
      <c r="U467" s="917">
        <f t="shared" si="29"/>
        <v>0</v>
      </c>
      <c r="Y467" s="544"/>
      <c r="Z467" s="544"/>
      <c r="AA467" s="544"/>
      <c r="AE467" s="1054"/>
    </row>
    <row r="468" spans="1:31" ht="21.75" hidden="1" customHeight="1" x14ac:dyDescent="0.15">
      <c r="A468" s="569"/>
      <c r="B468" s="570"/>
      <c r="C468" s="570"/>
      <c r="D468" s="571"/>
      <c r="E468" s="572"/>
      <c r="F468" s="573"/>
      <c r="G468" s="942"/>
      <c r="H468" s="602"/>
      <c r="I468" s="574"/>
      <c r="J468" s="574"/>
      <c r="K468" s="955"/>
      <c r="L468" s="1217" t="s">
        <v>1062</v>
      </c>
      <c r="M468" s="910"/>
      <c r="N468" s="910" t="s">
        <v>1063</v>
      </c>
      <c r="O468" s="911">
        <f>'사. 임직원보수 일람표'!L21</f>
        <v>24060</v>
      </c>
      <c r="P468" s="913" t="s">
        <v>724</v>
      </c>
      <c r="Q468" s="923">
        <v>0</v>
      </c>
      <c r="R468" s="913" t="s">
        <v>1011</v>
      </c>
      <c r="S468" s="1167">
        <f t="shared" si="27"/>
        <v>15</v>
      </c>
      <c r="T468" s="916" t="s">
        <v>1050</v>
      </c>
      <c r="U468" s="917">
        <f t="shared" si="29"/>
        <v>0</v>
      </c>
      <c r="Y468" s="544"/>
      <c r="Z468" s="544"/>
      <c r="AA468" s="544"/>
      <c r="AE468" s="1054"/>
    </row>
    <row r="469" spans="1:31" ht="21.75" hidden="1" customHeight="1" x14ac:dyDescent="0.15">
      <c r="A469" s="569"/>
      <c r="B469" s="570"/>
      <c r="C469" s="570"/>
      <c r="D469" s="571"/>
      <c r="E469" s="572"/>
      <c r="F469" s="573"/>
      <c r="G469" s="942"/>
      <c r="H469" s="602"/>
      <c r="I469" s="574"/>
      <c r="J469" s="574"/>
      <c r="K469" s="955"/>
      <c r="L469" s="1217" t="s">
        <v>1062</v>
      </c>
      <c r="M469" s="910"/>
      <c r="N469" s="910" t="s">
        <v>1024</v>
      </c>
      <c r="O469" s="911">
        <f>'사. 임직원보수 일람표'!L22</f>
        <v>24560</v>
      </c>
      <c r="P469" s="913" t="s">
        <v>1011</v>
      </c>
      <c r="Q469" s="923">
        <v>0</v>
      </c>
      <c r="R469" s="913" t="s">
        <v>1011</v>
      </c>
      <c r="S469" s="1167">
        <f t="shared" si="27"/>
        <v>15</v>
      </c>
      <c r="T469" s="916" t="s">
        <v>1016</v>
      </c>
      <c r="U469" s="917">
        <f t="shared" si="29"/>
        <v>0</v>
      </c>
      <c r="Y469" s="544"/>
      <c r="Z469" s="544"/>
      <c r="AA469" s="544"/>
      <c r="AE469" s="1054"/>
    </row>
    <row r="470" spans="1:31" ht="21.75" hidden="1" customHeight="1" x14ac:dyDescent="0.15">
      <c r="A470" s="569"/>
      <c r="B470" s="570"/>
      <c r="C470" s="570"/>
      <c r="D470" s="571"/>
      <c r="E470" s="572"/>
      <c r="F470" s="573"/>
      <c r="G470" s="942"/>
      <c r="H470" s="602"/>
      <c r="I470" s="574"/>
      <c r="J470" s="574"/>
      <c r="K470" s="955"/>
      <c r="L470" s="1217" t="s">
        <v>1064</v>
      </c>
      <c r="M470" s="910" t="s">
        <v>1025</v>
      </c>
      <c r="N470" s="910" t="s">
        <v>1065</v>
      </c>
      <c r="O470" s="911">
        <f>'사. 임직원보수 일람표'!L23</f>
        <v>25490</v>
      </c>
      <c r="P470" s="913" t="s">
        <v>1012</v>
      </c>
      <c r="Q470" s="923">
        <v>0</v>
      </c>
      <c r="R470" s="913" t="s">
        <v>1011</v>
      </c>
      <c r="S470" s="1167">
        <f t="shared" si="27"/>
        <v>15</v>
      </c>
      <c r="T470" s="916" t="s">
        <v>1050</v>
      </c>
      <c r="U470" s="917">
        <f t="shared" si="29"/>
        <v>0</v>
      </c>
      <c r="Y470" s="544"/>
      <c r="Z470" s="544"/>
      <c r="AA470" s="544"/>
      <c r="AE470" s="1054"/>
    </row>
    <row r="471" spans="1:31" ht="21.75" hidden="1" customHeight="1" x14ac:dyDescent="0.15">
      <c r="A471" s="569"/>
      <c r="B471" s="570"/>
      <c r="C471" s="570"/>
      <c r="D471" s="571"/>
      <c r="E471" s="572"/>
      <c r="F471" s="573"/>
      <c r="G471" s="942"/>
      <c r="H471" s="602"/>
      <c r="I471" s="574"/>
      <c r="J471" s="574"/>
      <c r="K471" s="955"/>
      <c r="L471" s="1217" t="s">
        <v>1064</v>
      </c>
      <c r="M471" s="910" t="s">
        <v>1025</v>
      </c>
      <c r="N471" s="910" t="s">
        <v>1065</v>
      </c>
      <c r="O471" s="911">
        <f>'사. 임직원보수 일람표'!L24</f>
        <v>25890</v>
      </c>
      <c r="P471" s="913" t="s">
        <v>1012</v>
      </c>
      <c r="Q471" s="923">
        <v>0</v>
      </c>
      <c r="R471" s="913" t="s">
        <v>1011</v>
      </c>
      <c r="S471" s="1167">
        <f t="shared" si="27"/>
        <v>15</v>
      </c>
      <c r="T471" s="916" t="s">
        <v>1050</v>
      </c>
      <c r="U471" s="917">
        <f t="shared" si="29"/>
        <v>0</v>
      </c>
      <c r="Y471" s="544"/>
      <c r="Z471" s="544"/>
      <c r="AA471" s="544"/>
      <c r="AE471" s="1054"/>
    </row>
    <row r="472" spans="1:31" ht="21.75" hidden="1" customHeight="1" x14ac:dyDescent="0.15">
      <c r="A472" s="569"/>
      <c r="B472" s="570"/>
      <c r="C472" s="570"/>
      <c r="D472" s="571"/>
      <c r="E472" s="572"/>
      <c r="F472" s="573"/>
      <c r="G472" s="942"/>
      <c r="H472" s="602"/>
      <c r="I472" s="574"/>
      <c r="J472" s="574"/>
      <c r="K472" s="955"/>
      <c r="L472" s="1217" t="s">
        <v>1020</v>
      </c>
      <c r="M472" s="910" t="s">
        <v>1066</v>
      </c>
      <c r="N472" s="910" t="s">
        <v>1026</v>
      </c>
      <c r="O472" s="911">
        <f>'사. 임직원보수 일람표'!L25</f>
        <v>21420</v>
      </c>
      <c r="P472" s="913" t="s">
        <v>1011</v>
      </c>
      <c r="Q472" s="923">
        <v>0</v>
      </c>
      <c r="R472" s="913" t="s">
        <v>1011</v>
      </c>
      <c r="S472" s="1167">
        <f t="shared" si="27"/>
        <v>15</v>
      </c>
      <c r="T472" s="916" t="s">
        <v>1016</v>
      </c>
      <c r="U472" s="917">
        <f t="shared" si="29"/>
        <v>0</v>
      </c>
      <c r="Y472" s="544"/>
      <c r="Z472" s="544"/>
      <c r="AA472" s="544"/>
      <c r="AE472" s="1054"/>
    </row>
    <row r="473" spans="1:31" ht="21.75" hidden="1" customHeight="1" x14ac:dyDescent="0.15">
      <c r="A473" s="569"/>
      <c r="B473" s="570"/>
      <c r="C473" s="570"/>
      <c r="D473" s="571"/>
      <c r="E473" s="572"/>
      <c r="F473" s="573"/>
      <c r="G473" s="942"/>
      <c r="H473" s="602"/>
      <c r="I473" s="574"/>
      <c r="J473" s="574"/>
      <c r="K473" s="955"/>
      <c r="L473" s="1217" t="s">
        <v>665</v>
      </c>
      <c r="M473" s="910" t="s">
        <v>1066</v>
      </c>
      <c r="N473" s="910" t="s">
        <v>1026</v>
      </c>
      <c r="O473" s="911">
        <f>'사. 임직원보수 일람표'!L26</f>
        <v>21900</v>
      </c>
      <c r="P473" s="913" t="s">
        <v>1011</v>
      </c>
      <c r="Q473" s="923">
        <v>0</v>
      </c>
      <c r="R473" s="913" t="s">
        <v>1012</v>
      </c>
      <c r="S473" s="1167">
        <f t="shared" si="27"/>
        <v>15</v>
      </c>
      <c r="T473" s="916" t="s">
        <v>1016</v>
      </c>
      <c r="U473" s="917">
        <f t="shared" si="29"/>
        <v>0</v>
      </c>
      <c r="Y473" s="544"/>
      <c r="Z473" s="544"/>
      <c r="AA473" s="544"/>
      <c r="AE473" s="1054"/>
    </row>
    <row r="474" spans="1:31" ht="21.75" hidden="1" customHeight="1" x14ac:dyDescent="0.15">
      <c r="A474" s="569"/>
      <c r="B474" s="570"/>
      <c r="C474" s="570"/>
      <c r="D474" s="571"/>
      <c r="E474" s="572"/>
      <c r="F474" s="573"/>
      <c r="G474" s="942"/>
      <c r="H474" s="602"/>
      <c r="I474" s="574"/>
      <c r="J474" s="574"/>
      <c r="K474" s="955"/>
      <c r="L474" s="1217" t="s">
        <v>1067</v>
      </c>
      <c r="M474" s="910"/>
      <c r="N474" s="910" t="s">
        <v>1068</v>
      </c>
      <c r="O474" s="911">
        <f>'사. 임직원보수 일람표'!L27</f>
        <v>20460</v>
      </c>
      <c r="P474" s="913" t="s">
        <v>1012</v>
      </c>
      <c r="Q474" s="923">
        <v>0</v>
      </c>
      <c r="R474" s="913" t="s">
        <v>1011</v>
      </c>
      <c r="S474" s="1167">
        <f t="shared" si="27"/>
        <v>15</v>
      </c>
      <c r="T474" s="916" t="s">
        <v>1050</v>
      </c>
      <c r="U474" s="917">
        <f t="shared" si="29"/>
        <v>0</v>
      </c>
      <c r="Y474" s="544"/>
      <c r="Z474" s="544"/>
      <c r="AA474" s="544"/>
      <c r="AE474" s="1054"/>
    </row>
    <row r="475" spans="1:31" ht="21.75" hidden="1" customHeight="1" x14ac:dyDescent="0.15">
      <c r="A475" s="569"/>
      <c r="B475" s="570"/>
      <c r="C475" s="570"/>
      <c r="D475" s="571"/>
      <c r="E475" s="572"/>
      <c r="F475" s="573"/>
      <c r="G475" s="942"/>
      <c r="H475" s="602"/>
      <c r="I475" s="574"/>
      <c r="J475" s="574"/>
      <c r="K475" s="955"/>
      <c r="L475" s="1217" t="s">
        <v>1027</v>
      </c>
      <c r="M475" s="910"/>
      <c r="N475" s="910" t="s">
        <v>1068</v>
      </c>
      <c r="O475" s="911">
        <f>'사. 임직원보수 일람표'!L28</f>
        <v>20900</v>
      </c>
      <c r="P475" s="913" t="s">
        <v>1012</v>
      </c>
      <c r="Q475" s="923">
        <v>0</v>
      </c>
      <c r="R475" s="913" t="s">
        <v>1012</v>
      </c>
      <c r="S475" s="1167">
        <f t="shared" si="27"/>
        <v>15</v>
      </c>
      <c r="T475" s="916" t="s">
        <v>1016</v>
      </c>
      <c r="U475" s="917">
        <f t="shared" si="29"/>
        <v>0</v>
      </c>
      <c r="Y475" s="544"/>
      <c r="Z475" s="544"/>
      <c r="AA475" s="544"/>
      <c r="AE475" s="1054"/>
    </row>
    <row r="476" spans="1:31" ht="21.75" hidden="1" customHeight="1" x14ac:dyDescent="0.15">
      <c r="A476" s="569"/>
      <c r="B476" s="570"/>
      <c r="C476" s="570"/>
      <c r="D476" s="571"/>
      <c r="E476" s="572"/>
      <c r="F476" s="573"/>
      <c r="G476" s="942"/>
      <c r="H476" s="602"/>
      <c r="I476" s="574"/>
      <c r="J476" s="574"/>
      <c r="K476" s="955"/>
      <c r="L476" s="1217" t="s">
        <v>1028</v>
      </c>
      <c r="M476" s="910" t="s">
        <v>1066</v>
      </c>
      <c r="N476" s="910" t="s">
        <v>1069</v>
      </c>
      <c r="O476" s="911">
        <f>'사. 임직원보수 일람표'!L29</f>
        <v>20020</v>
      </c>
      <c r="P476" s="913" t="s">
        <v>1012</v>
      </c>
      <c r="Q476" s="923">
        <v>0</v>
      </c>
      <c r="R476" s="913" t="s">
        <v>724</v>
      </c>
      <c r="S476" s="1167">
        <f t="shared" si="27"/>
        <v>15</v>
      </c>
      <c r="T476" s="916" t="s">
        <v>345</v>
      </c>
      <c r="U476" s="917">
        <f t="shared" si="29"/>
        <v>0</v>
      </c>
      <c r="Y476" s="544"/>
      <c r="Z476" s="544"/>
      <c r="AA476" s="544"/>
      <c r="AE476" s="1054"/>
    </row>
    <row r="477" spans="1:31" ht="21.75" hidden="1" customHeight="1" x14ac:dyDescent="0.15">
      <c r="A477" s="569"/>
      <c r="B477" s="570"/>
      <c r="C477" s="570"/>
      <c r="D477" s="571"/>
      <c r="E477" s="572"/>
      <c r="F477" s="573"/>
      <c r="G477" s="942"/>
      <c r="H477" s="602"/>
      <c r="I477" s="574"/>
      <c r="J477" s="574"/>
      <c r="K477" s="955"/>
      <c r="L477" s="1217" t="s">
        <v>1028</v>
      </c>
      <c r="M477" s="910" t="s">
        <v>1018</v>
      </c>
      <c r="N477" s="910" t="s">
        <v>681</v>
      </c>
      <c r="O477" s="911">
        <f>'사. 임직원보수 일람표'!L30</f>
        <v>20460</v>
      </c>
      <c r="P477" s="913" t="s">
        <v>1011</v>
      </c>
      <c r="Q477" s="923">
        <v>0</v>
      </c>
      <c r="R477" s="913" t="s">
        <v>1012</v>
      </c>
      <c r="S477" s="1167">
        <f t="shared" si="27"/>
        <v>15</v>
      </c>
      <c r="T477" s="916" t="s">
        <v>1050</v>
      </c>
      <c r="U477" s="917">
        <f t="shared" si="29"/>
        <v>0</v>
      </c>
      <c r="Y477" s="544"/>
      <c r="Z477" s="544"/>
      <c r="AA477" s="544"/>
      <c r="AE477" s="1054"/>
    </row>
    <row r="478" spans="1:31" ht="21.75" hidden="1" customHeight="1" x14ac:dyDescent="0.15">
      <c r="A478" s="569"/>
      <c r="B478" s="570"/>
      <c r="C478" s="570"/>
      <c r="D478" s="571"/>
      <c r="E478" s="572"/>
      <c r="F478" s="573"/>
      <c r="G478" s="942"/>
      <c r="H478" s="602"/>
      <c r="I478" s="574"/>
      <c r="J478" s="574"/>
      <c r="K478" s="955"/>
      <c r="L478" s="1217" t="s">
        <v>1028</v>
      </c>
      <c r="M478" s="910"/>
      <c r="N478" s="910" t="s">
        <v>682</v>
      </c>
      <c r="O478" s="911">
        <f>'사. 임직원보수 일람표'!L31</f>
        <v>21320</v>
      </c>
      <c r="P478" s="913" t="s">
        <v>1012</v>
      </c>
      <c r="Q478" s="923">
        <v>0</v>
      </c>
      <c r="R478" s="913" t="s">
        <v>1012</v>
      </c>
      <c r="S478" s="1167">
        <f t="shared" si="27"/>
        <v>15</v>
      </c>
      <c r="T478" s="916" t="s">
        <v>1050</v>
      </c>
      <c r="U478" s="917">
        <f t="shared" si="29"/>
        <v>0</v>
      </c>
      <c r="Y478" s="544"/>
      <c r="Z478" s="544"/>
      <c r="AA478" s="544"/>
      <c r="AE478" s="1054"/>
    </row>
    <row r="479" spans="1:31" ht="21.75" hidden="1" customHeight="1" x14ac:dyDescent="0.15">
      <c r="A479" s="569"/>
      <c r="B479" s="570"/>
      <c r="C479" s="570"/>
      <c r="D479" s="571"/>
      <c r="E479" s="572"/>
      <c r="F479" s="573"/>
      <c r="G479" s="942"/>
      <c r="H479" s="602"/>
      <c r="I479" s="574"/>
      <c r="J479" s="574"/>
      <c r="K479" s="955"/>
      <c r="L479" s="1217" t="s">
        <v>680</v>
      </c>
      <c r="M479" s="910"/>
      <c r="N479" s="910" t="s">
        <v>1070</v>
      </c>
      <c r="O479" s="911">
        <f>'사. 임직원보수 일람표'!L32</f>
        <v>21700</v>
      </c>
      <c r="P479" s="913" t="s">
        <v>1012</v>
      </c>
      <c r="Q479" s="923">
        <v>8</v>
      </c>
      <c r="R479" s="913" t="s">
        <v>1012</v>
      </c>
      <c r="S479" s="1167">
        <f t="shared" si="27"/>
        <v>15</v>
      </c>
      <c r="T479" s="916" t="s">
        <v>1050</v>
      </c>
      <c r="U479" s="917">
        <f t="shared" si="29"/>
        <v>2604000</v>
      </c>
      <c r="Y479" s="544"/>
      <c r="Z479" s="544"/>
      <c r="AA479" s="544"/>
      <c r="AE479" s="1054"/>
    </row>
    <row r="480" spans="1:31" ht="21.75" hidden="1" customHeight="1" x14ac:dyDescent="0.15">
      <c r="A480" s="569"/>
      <c r="B480" s="570"/>
      <c r="C480" s="570"/>
      <c r="D480" s="571"/>
      <c r="E480" s="572"/>
      <c r="F480" s="573"/>
      <c r="G480" s="942"/>
      <c r="H480" s="602"/>
      <c r="I480" s="574"/>
      <c r="J480" s="574"/>
      <c r="K480" s="955"/>
      <c r="L480" s="1217" t="s">
        <v>1028</v>
      </c>
      <c r="M480" s="910"/>
      <c r="N480" s="910" t="s">
        <v>1029</v>
      </c>
      <c r="O480" s="911">
        <f>'사. 임직원보수 일람표'!L33</f>
        <v>19140</v>
      </c>
      <c r="P480" s="913" t="s">
        <v>1012</v>
      </c>
      <c r="Q480" s="923">
        <v>0</v>
      </c>
      <c r="R480" s="913" t="s">
        <v>1011</v>
      </c>
      <c r="S480" s="1167">
        <f t="shared" si="27"/>
        <v>15</v>
      </c>
      <c r="T480" s="916" t="s">
        <v>1016</v>
      </c>
      <c r="U480" s="917">
        <f t="shared" si="29"/>
        <v>0</v>
      </c>
      <c r="Y480" s="544"/>
      <c r="Z480" s="544"/>
      <c r="AA480" s="544"/>
      <c r="AE480" s="1054"/>
    </row>
    <row r="481" spans="1:31" ht="21.75" hidden="1" customHeight="1" x14ac:dyDescent="0.15">
      <c r="A481" s="569"/>
      <c r="B481" s="570"/>
      <c r="C481" s="570"/>
      <c r="D481" s="571"/>
      <c r="E481" s="572"/>
      <c r="F481" s="573"/>
      <c r="G481" s="942"/>
      <c r="H481" s="602"/>
      <c r="I481" s="574"/>
      <c r="J481" s="574"/>
      <c r="K481" s="955"/>
      <c r="L481" s="1217" t="s">
        <v>1028</v>
      </c>
      <c r="M481" s="910"/>
      <c r="N481" s="910" t="s">
        <v>1029</v>
      </c>
      <c r="O481" s="911">
        <f>'사. 임직원보수 일람표'!L34</f>
        <v>19590</v>
      </c>
      <c r="P481" s="913" t="s">
        <v>1012</v>
      </c>
      <c r="Q481" s="923">
        <v>8</v>
      </c>
      <c r="R481" s="913" t="s">
        <v>1011</v>
      </c>
      <c r="S481" s="1167">
        <f t="shared" si="27"/>
        <v>15</v>
      </c>
      <c r="T481" s="916" t="s">
        <v>1050</v>
      </c>
      <c r="U481" s="917">
        <f>O481*Q481*S481</f>
        <v>2350800</v>
      </c>
      <c r="Y481" s="544"/>
      <c r="Z481" s="544"/>
      <c r="AA481" s="544"/>
      <c r="AE481" s="1054"/>
    </row>
    <row r="482" spans="1:31" ht="21.75" hidden="1" customHeight="1" x14ac:dyDescent="0.15">
      <c r="A482" s="569"/>
      <c r="B482" s="570"/>
      <c r="C482" s="570"/>
      <c r="D482" s="571"/>
      <c r="E482" s="572"/>
      <c r="F482" s="573"/>
      <c r="G482" s="942"/>
      <c r="H482" s="602"/>
      <c r="I482" s="574"/>
      <c r="J482" s="574"/>
      <c r="K482" s="955"/>
      <c r="L482" s="1217" t="s">
        <v>1028</v>
      </c>
      <c r="M482" s="910"/>
      <c r="N482" s="910" t="s">
        <v>1030</v>
      </c>
      <c r="O482" s="911">
        <f>'사. 임직원보수 일람표'!L35</f>
        <v>20460</v>
      </c>
      <c r="P482" s="913" t="s">
        <v>1012</v>
      </c>
      <c r="Q482" s="923">
        <v>0</v>
      </c>
      <c r="R482" s="913" t="s">
        <v>1012</v>
      </c>
      <c r="S482" s="1167">
        <f t="shared" si="27"/>
        <v>15</v>
      </c>
      <c r="T482" s="916" t="s">
        <v>1016</v>
      </c>
      <c r="U482" s="917">
        <f t="shared" si="29"/>
        <v>0</v>
      </c>
      <c r="Y482" s="544"/>
      <c r="Z482" s="544"/>
      <c r="AA482" s="544"/>
      <c r="AE482" s="1054"/>
    </row>
    <row r="483" spans="1:31" ht="21.75" hidden="1" customHeight="1" x14ac:dyDescent="0.15">
      <c r="A483" s="569"/>
      <c r="B483" s="570"/>
      <c r="C483" s="570"/>
      <c r="D483" s="571"/>
      <c r="E483" s="572"/>
      <c r="F483" s="573"/>
      <c r="G483" s="942"/>
      <c r="H483" s="602"/>
      <c r="I483" s="574"/>
      <c r="J483" s="574"/>
      <c r="K483" s="955"/>
      <c r="L483" s="1217" t="s">
        <v>1071</v>
      </c>
      <c r="M483" s="910"/>
      <c r="N483" s="910" t="s">
        <v>1030</v>
      </c>
      <c r="O483" s="911">
        <f>'사. 임직원보수 일람표'!L36</f>
        <v>20900</v>
      </c>
      <c r="P483" s="913" t="s">
        <v>1011</v>
      </c>
      <c r="Q483" s="923">
        <v>8</v>
      </c>
      <c r="R483" s="913" t="s">
        <v>1012</v>
      </c>
      <c r="S483" s="1167">
        <f t="shared" si="27"/>
        <v>15</v>
      </c>
      <c r="T483" s="916" t="s">
        <v>1016</v>
      </c>
      <c r="U483" s="917">
        <f t="shared" si="29"/>
        <v>2508000</v>
      </c>
      <c r="Y483" s="544"/>
      <c r="Z483" s="544"/>
      <c r="AA483" s="544"/>
      <c r="AE483" s="1054"/>
    </row>
    <row r="484" spans="1:31" ht="21.75" hidden="1" customHeight="1" x14ac:dyDescent="0.15">
      <c r="A484" s="569"/>
      <c r="B484" s="570"/>
      <c r="C484" s="570"/>
      <c r="D484" s="571"/>
      <c r="E484" s="572"/>
      <c r="F484" s="573"/>
      <c r="G484" s="942"/>
      <c r="H484" s="602"/>
      <c r="I484" s="574"/>
      <c r="J484" s="574"/>
      <c r="K484" s="955"/>
      <c r="L484" s="1217" t="s">
        <v>1071</v>
      </c>
      <c r="M484" s="910" t="s">
        <v>1018</v>
      </c>
      <c r="N484" s="910" t="s">
        <v>1072</v>
      </c>
      <c r="O484" s="911">
        <f>'사. 임직원보수 일람표'!L37</f>
        <v>20900</v>
      </c>
      <c r="P484" s="913" t="s">
        <v>1012</v>
      </c>
      <c r="Q484" s="923">
        <v>0</v>
      </c>
      <c r="R484" s="913" t="s">
        <v>1012</v>
      </c>
      <c r="S484" s="1167">
        <f t="shared" si="27"/>
        <v>15</v>
      </c>
      <c r="T484" s="916" t="s">
        <v>1016</v>
      </c>
      <c r="U484" s="917">
        <f t="shared" si="29"/>
        <v>0</v>
      </c>
      <c r="Y484" s="544"/>
      <c r="Z484" s="544"/>
      <c r="AA484" s="544"/>
      <c r="AE484" s="1054"/>
    </row>
    <row r="485" spans="1:31" ht="21.75" hidden="1" customHeight="1" x14ac:dyDescent="0.15">
      <c r="A485" s="569"/>
      <c r="B485" s="570"/>
      <c r="C485" s="570"/>
      <c r="D485" s="571"/>
      <c r="E485" s="572"/>
      <c r="F485" s="573"/>
      <c r="G485" s="942"/>
      <c r="H485" s="602"/>
      <c r="I485" s="574"/>
      <c r="J485" s="574"/>
      <c r="K485" s="955"/>
      <c r="L485" s="1217" t="s">
        <v>1071</v>
      </c>
      <c r="M485" s="910" t="s">
        <v>1018</v>
      </c>
      <c r="N485" s="910" t="s">
        <v>1031</v>
      </c>
      <c r="O485" s="911">
        <f>'사. 임직원보수 일람표'!L38</f>
        <v>21320</v>
      </c>
      <c r="P485" s="913" t="s">
        <v>1012</v>
      </c>
      <c r="Q485" s="923">
        <v>0</v>
      </c>
      <c r="R485" s="913" t="s">
        <v>1011</v>
      </c>
      <c r="S485" s="1167">
        <f t="shared" si="27"/>
        <v>15</v>
      </c>
      <c r="T485" s="916" t="s">
        <v>1016</v>
      </c>
      <c r="U485" s="917">
        <f t="shared" si="29"/>
        <v>0</v>
      </c>
      <c r="Y485" s="544"/>
      <c r="Z485" s="544"/>
      <c r="AA485" s="544"/>
      <c r="AE485" s="1054"/>
    </row>
    <row r="486" spans="1:31" ht="21.75" hidden="1" customHeight="1" x14ac:dyDescent="0.15">
      <c r="A486" s="569"/>
      <c r="B486" s="570"/>
      <c r="C486" s="570"/>
      <c r="D486" s="571"/>
      <c r="E486" s="572"/>
      <c r="F486" s="573"/>
      <c r="G486" s="942"/>
      <c r="H486" s="602"/>
      <c r="I486" s="574"/>
      <c r="J486" s="574"/>
      <c r="K486" s="955"/>
      <c r="L486" s="1217" t="s">
        <v>1028</v>
      </c>
      <c r="M486" s="910" t="s">
        <v>1018</v>
      </c>
      <c r="N486" s="910" t="s">
        <v>1032</v>
      </c>
      <c r="O486" s="911">
        <f>'사. 임직원보수 일람표'!L39</f>
        <v>19590</v>
      </c>
      <c r="P486" s="913" t="s">
        <v>1012</v>
      </c>
      <c r="Q486" s="923">
        <v>0</v>
      </c>
      <c r="R486" s="913" t="s">
        <v>1011</v>
      </c>
      <c r="S486" s="1167">
        <f t="shared" si="27"/>
        <v>15</v>
      </c>
      <c r="T486" s="916" t="s">
        <v>1050</v>
      </c>
      <c r="U486" s="917">
        <f t="shared" si="29"/>
        <v>0</v>
      </c>
      <c r="Y486" s="544"/>
      <c r="Z486" s="544"/>
      <c r="AA486" s="544"/>
      <c r="AE486" s="1054"/>
    </row>
    <row r="487" spans="1:31" ht="21.75" hidden="1" customHeight="1" x14ac:dyDescent="0.15">
      <c r="A487" s="569"/>
      <c r="B487" s="570"/>
      <c r="C487" s="570"/>
      <c r="D487" s="571"/>
      <c r="E487" s="572"/>
      <c r="F487" s="573"/>
      <c r="G487" s="942"/>
      <c r="H487" s="602"/>
      <c r="I487" s="574"/>
      <c r="J487" s="574"/>
      <c r="K487" s="955"/>
      <c r="L487" s="1217" t="s">
        <v>1028</v>
      </c>
      <c r="M487" s="910" t="s">
        <v>1018</v>
      </c>
      <c r="N487" s="910" t="s">
        <v>1073</v>
      </c>
      <c r="O487" s="911">
        <f>'사. 임직원보수 일람표'!L40</f>
        <v>20020</v>
      </c>
      <c r="P487" s="913" t="s">
        <v>1012</v>
      </c>
      <c r="Q487" s="923">
        <v>0</v>
      </c>
      <c r="R487" s="913" t="s">
        <v>1012</v>
      </c>
      <c r="S487" s="1167">
        <f t="shared" si="27"/>
        <v>15</v>
      </c>
      <c r="T487" s="916" t="s">
        <v>1016</v>
      </c>
      <c r="U487" s="917">
        <f t="shared" si="29"/>
        <v>0</v>
      </c>
      <c r="Y487" s="544"/>
      <c r="Z487" s="544"/>
      <c r="AA487" s="544"/>
      <c r="AE487" s="1054"/>
    </row>
    <row r="488" spans="1:31" ht="21.75" hidden="1" customHeight="1" x14ac:dyDescent="0.15">
      <c r="A488" s="569"/>
      <c r="B488" s="570"/>
      <c r="C488" s="570"/>
      <c r="D488" s="571"/>
      <c r="E488" s="572"/>
      <c r="F488" s="573"/>
      <c r="G488" s="942"/>
      <c r="H488" s="602"/>
      <c r="I488" s="574"/>
      <c r="J488" s="574"/>
      <c r="K488" s="955"/>
      <c r="L488" s="1217" t="s">
        <v>1028</v>
      </c>
      <c r="M488" s="910" t="s">
        <v>1018</v>
      </c>
      <c r="N488" s="910" t="s">
        <v>1033</v>
      </c>
      <c r="O488" s="911">
        <f>'사. 임직원보수 일람표'!L41</f>
        <v>18780</v>
      </c>
      <c r="P488" s="913" t="s">
        <v>1012</v>
      </c>
      <c r="Q488" s="923">
        <v>0</v>
      </c>
      <c r="R488" s="913" t="s">
        <v>1012</v>
      </c>
      <c r="S488" s="1167">
        <f t="shared" si="27"/>
        <v>15</v>
      </c>
      <c r="T488" s="916" t="s">
        <v>1016</v>
      </c>
      <c r="U488" s="917">
        <f t="shared" si="29"/>
        <v>0</v>
      </c>
      <c r="Y488" s="544"/>
      <c r="Z488" s="544"/>
      <c r="AA488" s="544"/>
      <c r="AE488" s="1054"/>
    </row>
    <row r="489" spans="1:31" ht="21.75" hidden="1" customHeight="1" x14ac:dyDescent="0.15">
      <c r="A489" s="569"/>
      <c r="B489" s="570"/>
      <c r="C489" s="570"/>
      <c r="D489" s="571"/>
      <c r="E489" s="572"/>
      <c r="F489" s="573"/>
      <c r="G489" s="942"/>
      <c r="H489" s="602"/>
      <c r="I489" s="574"/>
      <c r="J489" s="574"/>
      <c r="K489" s="955"/>
      <c r="L489" s="1217" t="s">
        <v>1028</v>
      </c>
      <c r="M489" s="910" t="s">
        <v>1018</v>
      </c>
      <c r="N489" s="910" t="s">
        <v>1033</v>
      </c>
      <c r="O489" s="911">
        <f>'사. 임직원보수 일람표'!L42</f>
        <v>19140</v>
      </c>
      <c r="P489" s="913" t="s">
        <v>724</v>
      </c>
      <c r="Q489" s="923">
        <v>0</v>
      </c>
      <c r="R489" s="913" t="s">
        <v>1012</v>
      </c>
      <c r="S489" s="1167">
        <f t="shared" si="27"/>
        <v>15</v>
      </c>
      <c r="T489" s="916" t="s">
        <v>345</v>
      </c>
      <c r="U489" s="917">
        <f t="shared" si="29"/>
        <v>0</v>
      </c>
      <c r="Y489" s="544"/>
      <c r="Z489" s="544"/>
      <c r="AA489" s="544"/>
      <c r="AE489" s="1054"/>
    </row>
    <row r="490" spans="1:31" ht="21.75" hidden="1" customHeight="1" x14ac:dyDescent="0.15">
      <c r="A490" s="569"/>
      <c r="B490" s="570"/>
      <c r="C490" s="570"/>
      <c r="D490" s="571"/>
      <c r="E490" s="572"/>
      <c r="F490" s="573"/>
      <c r="G490" s="942"/>
      <c r="H490" s="602"/>
      <c r="I490" s="574"/>
      <c r="J490" s="574"/>
      <c r="K490" s="955"/>
      <c r="L490" s="1217" t="s">
        <v>1028</v>
      </c>
      <c r="M490" s="910"/>
      <c r="N490" s="910" t="s">
        <v>1034</v>
      </c>
      <c r="O490" s="911">
        <f>'사. 임직원보수 일람표'!L43</f>
        <v>19140</v>
      </c>
      <c r="P490" s="913" t="s">
        <v>1012</v>
      </c>
      <c r="Q490" s="923">
        <v>0</v>
      </c>
      <c r="R490" s="913" t="s">
        <v>1012</v>
      </c>
      <c r="S490" s="1167">
        <f t="shared" si="27"/>
        <v>15</v>
      </c>
      <c r="T490" s="916" t="s">
        <v>1016</v>
      </c>
      <c r="U490" s="917">
        <f t="shared" si="29"/>
        <v>0</v>
      </c>
      <c r="Y490" s="544"/>
      <c r="Z490" s="544"/>
      <c r="AA490" s="544"/>
      <c r="AE490" s="1054"/>
    </row>
    <row r="491" spans="1:31" ht="21.75" hidden="1" customHeight="1" x14ac:dyDescent="0.15">
      <c r="A491" s="569"/>
      <c r="B491" s="570"/>
      <c r="C491" s="570"/>
      <c r="D491" s="571"/>
      <c r="E491" s="572"/>
      <c r="F491" s="573"/>
      <c r="G491" s="942"/>
      <c r="H491" s="602"/>
      <c r="I491" s="574"/>
      <c r="J491" s="574"/>
      <c r="K491" s="955"/>
      <c r="L491" s="1217" t="s">
        <v>1028</v>
      </c>
      <c r="M491" s="910"/>
      <c r="N491" s="910" t="s">
        <v>1034</v>
      </c>
      <c r="O491" s="911">
        <f>'사. 임직원보수 일람표'!L44</f>
        <v>19590</v>
      </c>
      <c r="P491" s="913" t="s">
        <v>1011</v>
      </c>
      <c r="Q491" s="923">
        <v>0</v>
      </c>
      <c r="R491" s="913" t="s">
        <v>1011</v>
      </c>
      <c r="S491" s="1167">
        <f t="shared" si="27"/>
        <v>15</v>
      </c>
      <c r="T491" s="916" t="s">
        <v>1050</v>
      </c>
      <c r="U491" s="917">
        <f t="shared" si="29"/>
        <v>0</v>
      </c>
      <c r="Y491" s="544"/>
      <c r="Z491" s="544"/>
      <c r="AA491" s="544"/>
      <c r="AE491" s="1054"/>
    </row>
    <row r="492" spans="1:31" ht="21.75" hidden="1" customHeight="1" x14ac:dyDescent="0.15">
      <c r="A492" s="569"/>
      <c r="B492" s="570"/>
      <c r="C492" s="570"/>
      <c r="D492" s="571"/>
      <c r="E492" s="572"/>
      <c r="F492" s="573"/>
      <c r="G492" s="942"/>
      <c r="H492" s="602"/>
      <c r="I492" s="574"/>
      <c r="J492" s="574"/>
      <c r="K492" s="955"/>
      <c r="L492" s="1217" t="s">
        <v>1028</v>
      </c>
      <c r="M492" s="910"/>
      <c r="N492" s="910" t="s">
        <v>1074</v>
      </c>
      <c r="O492" s="911">
        <f>'사. 임직원보수 일람표'!L45</f>
        <v>19590</v>
      </c>
      <c r="P492" s="913" t="s">
        <v>1012</v>
      </c>
      <c r="Q492" s="923">
        <v>0</v>
      </c>
      <c r="R492" s="913" t="s">
        <v>1011</v>
      </c>
      <c r="S492" s="1167">
        <f t="shared" si="27"/>
        <v>15</v>
      </c>
      <c r="T492" s="916" t="s">
        <v>1050</v>
      </c>
      <c r="U492" s="917">
        <f t="shared" si="29"/>
        <v>0</v>
      </c>
      <c r="Y492" s="544"/>
      <c r="Z492" s="544"/>
      <c r="AA492" s="544"/>
      <c r="AE492" s="1054"/>
    </row>
    <row r="493" spans="1:31" ht="21.75" hidden="1" customHeight="1" x14ac:dyDescent="0.15">
      <c r="A493" s="569"/>
      <c r="B493" s="570"/>
      <c r="C493" s="570"/>
      <c r="D493" s="571"/>
      <c r="E493" s="572"/>
      <c r="F493" s="573"/>
      <c r="G493" s="942"/>
      <c r="H493" s="602"/>
      <c r="I493" s="574"/>
      <c r="J493" s="574"/>
      <c r="K493" s="955"/>
      <c r="L493" s="1217" t="s">
        <v>1071</v>
      </c>
      <c r="M493" s="910"/>
      <c r="N493" s="910" t="s">
        <v>1035</v>
      </c>
      <c r="O493" s="911">
        <f>'사. 임직원보수 일람표'!L46</f>
        <v>20020</v>
      </c>
      <c r="P493" s="913" t="s">
        <v>1011</v>
      </c>
      <c r="Q493" s="923">
        <v>0</v>
      </c>
      <c r="R493" s="913" t="s">
        <v>1012</v>
      </c>
      <c r="S493" s="1167">
        <f t="shared" si="27"/>
        <v>15</v>
      </c>
      <c r="T493" s="916" t="s">
        <v>1050</v>
      </c>
      <c r="U493" s="917">
        <f t="shared" si="29"/>
        <v>0</v>
      </c>
      <c r="Y493" s="544"/>
      <c r="Z493" s="544"/>
      <c r="AA493" s="544"/>
      <c r="AE493" s="1054"/>
    </row>
    <row r="494" spans="1:31" ht="21.75" hidden="1" customHeight="1" x14ac:dyDescent="0.15">
      <c r="A494" s="569"/>
      <c r="B494" s="570"/>
      <c r="C494" s="570"/>
      <c r="D494" s="571"/>
      <c r="E494" s="572"/>
      <c r="F494" s="573"/>
      <c r="G494" s="942"/>
      <c r="H494" s="602"/>
      <c r="I494" s="574"/>
      <c r="J494" s="574"/>
      <c r="K494" s="955"/>
      <c r="L494" s="1217" t="s">
        <v>1028</v>
      </c>
      <c r="M494" s="910"/>
      <c r="N494" s="910" t="s">
        <v>1036</v>
      </c>
      <c r="O494" s="911">
        <f>'사. 임직원보수 일람표'!L47</f>
        <v>18780</v>
      </c>
      <c r="P494" s="913" t="s">
        <v>1011</v>
      </c>
      <c r="Q494" s="923">
        <v>0</v>
      </c>
      <c r="R494" s="913" t="s">
        <v>1011</v>
      </c>
      <c r="S494" s="1167">
        <f t="shared" si="27"/>
        <v>15</v>
      </c>
      <c r="T494" s="916" t="s">
        <v>1050</v>
      </c>
      <c r="U494" s="917">
        <f t="shared" si="29"/>
        <v>0</v>
      </c>
      <c r="Y494" s="544"/>
      <c r="Z494" s="544"/>
      <c r="AA494" s="544"/>
      <c r="AE494" s="1054"/>
    </row>
    <row r="495" spans="1:31" ht="21.75" hidden="1" customHeight="1" x14ac:dyDescent="0.15">
      <c r="A495" s="569"/>
      <c r="B495" s="570"/>
      <c r="C495" s="570"/>
      <c r="D495" s="571"/>
      <c r="E495" s="572"/>
      <c r="F495" s="573"/>
      <c r="G495" s="942"/>
      <c r="H495" s="602"/>
      <c r="I495" s="574"/>
      <c r="J495" s="574"/>
      <c r="K495" s="955"/>
      <c r="L495" s="1217" t="s">
        <v>1028</v>
      </c>
      <c r="M495" s="910"/>
      <c r="N495" s="910" t="s">
        <v>1075</v>
      </c>
      <c r="O495" s="911">
        <f>'사. 임직원보수 일람표'!L48</f>
        <v>19140</v>
      </c>
      <c r="P495" s="913" t="s">
        <v>1012</v>
      </c>
      <c r="Q495" s="923">
        <v>0</v>
      </c>
      <c r="R495" s="913" t="s">
        <v>1012</v>
      </c>
      <c r="S495" s="1167">
        <f t="shared" si="27"/>
        <v>15</v>
      </c>
      <c r="T495" s="916" t="s">
        <v>1050</v>
      </c>
      <c r="U495" s="917">
        <f t="shared" si="29"/>
        <v>0</v>
      </c>
      <c r="Y495" s="544"/>
      <c r="Z495" s="544"/>
      <c r="AA495" s="544"/>
      <c r="AE495" s="1054"/>
    </row>
    <row r="496" spans="1:31" ht="21.75" hidden="1" customHeight="1" x14ac:dyDescent="0.15">
      <c r="A496" s="569"/>
      <c r="B496" s="570"/>
      <c r="C496" s="570"/>
      <c r="D496" s="571"/>
      <c r="E496" s="572"/>
      <c r="F496" s="573"/>
      <c r="G496" s="942"/>
      <c r="H496" s="602"/>
      <c r="I496" s="574"/>
      <c r="J496" s="574"/>
      <c r="K496" s="955"/>
      <c r="L496" s="1217" t="s">
        <v>1028</v>
      </c>
      <c r="M496" s="910"/>
      <c r="N496" s="910" t="s">
        <v>1076</v>
      </c>
      <c r="O496" s="911">
        <f>'사. 임직원보수 일람표'!L49</f>
        <v>17780</v>
      </c>
      <c r="P496" s="913" t="s">
        <v>1012</v>
      </c>
      <c r="Q496" s="923">
        <v>0</v>
      </c>
      <c r="R496" s="913" t="s">
        <v>1012</v>
      </c>
      <c r="S496" s="1167">
        <f t="shared" si="27"/>
        <v>15</v>
      </c>
      <c r="T496" s="916" t="s">
        <v>1016</v>
      </c>
      <c r="U496" s="917">
        <f t="shared" si="29"/>
        <v>0</v>
      </c>
      <c r="Y496" s="544"/>
      <c r="Z496" s="544"/>
      <c r="AA496" s="544"/>
      <c r="AE496" s="1054"/>
    </row>
    <row r="497" spans="1:31" ht="21.75" hidden="1" customHeight="1" x14ac:dyDescent="0.15">
      <c r="A497" s="569"/>
      <c r="B497" s="570"/>
      <c r="C497" s="570"/>
      <c r="D497" s="571"/>
      <c r="E497" s="572"/>
      <c r="F497" s="573"/>
      <c r="G497" s="942"/>
      <c r="H497" s="602"/>
      <c r="I497" s="574"/>
      <c r="J497" s="574"/>
      <c r="K497" s="955"/>
      <c r="L497" s="1217" t="s">
        <v>1028</v>
      </c>
      <c r="M497" s="910"/>
      <c r="N497" s="910" t="s">
        <v>1077</v>
      </c>
      <c r="O497" s="911">
        <f>'사. 임직원보수 일람표'!L50</f>
        <v>18340</v>
      </c>
      <c r="P497" s="913" t="s">
        <v>1011</v>
      </c>
      <c r="Q497" s="923">
        <v>8</v>
      </c>
      <c r="R497" s="913" t="s">
        <v>1011</v>
      </c>
      <c r="S497" s="1167">
        <f t="shared" si="27"/>
        <v>15</v>
      </c>
      <c r="T497" s="916" t="s">
        <v>1016</v>
      </c>
      <c r="U497" s="917">
        <f t="shared" si="29"/>
        <v>2200800</v>
      </c>
      <c r="Y497" s="544"/>
      <c r="Z497" s="544"/>
      <c r="AA497" s="544"/>
      <c r="AE497" s="1054"/>
    </row>
    <row r="498" spans="1:31" ht="21.75" hidden="1" customHeight="1" x14ac:dyDescent="0.15">
      <c r="A498" s="569"/>
      <c r="B498" s="570"/>
      <c r="C498" s="570"/>
      <c r="D498" s="571"/>
      <c r="E498" s="572"/>
      <c r="F498" s="573"/>
      <c r="G498" s="942"/>
      <c r="H498" s="602"/>
      <c r="I498" s="574"/>
      <c r="J498" s="574"/>
      <c r="K498" s="955"/>
      <c r="L498" s="1217" t="s">
        <v>1078</v>
      </c>
      <c r="M498" s="910"/>
      <c r="N498" s="910" t="s">
        <v>1079</v>
      </c>
      <c r="O498" s="911">
        <f>'사. 임직원보수 일람표'!L51</f>
        <v>16580</v>
      </c>
      <c r="P498" s="913" t="s">
        <v>1012</v>
      </c>
      <c r="Q498" s="923">
        <v>0</v>
      </c>
      <c r="R498" s="913" t="s">
        <v>1012</v>
      </c>
      <c r="S498" s="1167">
        <f t="shared" si="27"/>
        <v>15</v>
      </c>
      <c r="T498" s="916" t="s">
        <v>1050</v>
      </c>
      <c r="U498" s="917">
        <f t="shared" si="29"/>
        <v>0</v>
      </c>
      <c r="Y498" s="544"/>
      <c r="Z498" s="544"/>
      <c r="AA498" s="544"/>
      <c r="AE498" s="1054"/>
    </row>
    <row r="499" spans="1:31" ht="21.75" hidden="1" customHeight="1" x14ac:dyDescent="0.15">
      <c r="A499" s="569"/>
      <c r="B499" s="570"/>
      <c r="C499" s="570"/>
      <c r="D499" s="571"/>
      <c r="E499" s="572"/>
      <c r="F499" s="573"/>
      <c r="G499" s="942"/>
      <c r="H499" s="602"/>
      <c r="I499" s="574"/>
      <c r="J499" s="574"/>
      <c r="K499" s="955"/>
      <c r="L499" s="1217" t="s">
        <v>1028</v>
      </c>
      <c r="M499" s="910"/>
      <c r="N499" s="910" t="s">
        <v>1037</v>
      </c>
      <c r="O499" s="911">
        <f>'사. 임직원보수 일람표'!L52</f>
        <v>17200</v>
      </c>
      <c r="P499" s="913" t="s">
        <v>1012</v>
      </c>
      <c r="Q499" s="923">
        <v>8</v>
      </c>
      <c r="R499" s="913" t="s">
        <v>1012</v>
      </c>
      <c r="S499" s="1167">
        <f t="shared" si="27"/>
        <v>15</v>
      </c>
      <c r="T499" s="916" t="s">
        <v>1016</v>
      </c>
      <c r="U499" s="917">
        <f t="shared" si="29"/>
        <v>2064000</v>
      </c>
      <c r="Y499" s="544"/>
      <c r="Z499" s="544"/>
      <c r="AA499" s="544"/>
      <c r="AE499" s="1054"/>
    </row>
    <row r="500" spans="1:31" ht="21.75" hidden="1" customHeight="1" x14ac:dyDescent="0.15">
      <c r="A500" s="569"/>
      <c r="B500" s="570"/>
      <c r="C500" s="570"/>
      <c r="D500" s="571"/>
      <c r="E500" s="572"/>
      <c r="F500" s="573"/>
      <c r="G500" s="942"/>
      <c r="H500" s="602"/>
      <c r="I500" s="574"/>
      <c r="J500" s="574"/>
      <c r="K500" s="955"/>
      <c r="L500" s="1217" t="s">
        <v>1028</v>
      </c>
      <c r="M500" s="910"/>
      <c r="N500" s="910" t="s">
        <v>1038</v>
      </c>
      <c r="O500" s="911">
        <f>'사. 임직원보수 일람표'!L53</f>
        <v>16030</v>
      </c>
      <c r="P500" s="913" t="s">
        <v>1011</v>
      </c>
      <c r="Q500" s="923">
        <v>0</v>
      </c>
      <c r="R500" s="913" t="s">
        <v>1012</v>
      </c>
      <c r="S500" s="1167">
        <f t="shared" si="27"/>
        <v>15</v>
      </c>
      <c r="T500" s="916" t="s">
        <v>1050</v>
      </c>
      <c r="U500" s="917">
        <f t="shared" si="29"/>
        <v>0</v>
      </c>
      <c r="Y500" s="544"/>
      <c r="Z500" s="544"/>
      <c r="AA500" s="544"/>
      <c r="AE500" s="1054"/>
    </row>
    <row r="501" spans="1:31" ht="21.75" hidden="1" customHeight="1" x14ac:dyDescent="0.15">
      <c r="A501" s="569"/>
      <c r="B501" s="570"/>
      <c r="C501" s="570"/>
      <c r="D501" s="571"/>
      <c r="E501" s="572"/>
      <c r="F501" s="573"/>
      <c r="G501" s="942"/>
      <c r="H501" s="602"/>
      <c r="I501" s="574"/>
      <c r="J501" s="574"/>
      <c r="K501" s="955"/>
      <c r="L501" s="1217" t="s">
        <v>1028</v>
      </c>
      <c r="M501" s="910"/>
      <c r="N501" s="910" t="s">
        <v>1080</v>
      </c>
      <c r="O501" s="911">
        <f>'사. 임직원보수 일람표'!L54</f>
        <v>16580</v>
      </c>
      <c r="P501" s="913" t="s">
        <v>1011</v>
      </c>
      <c r="Q501" s="923">
        <v>8</v>
      </c>
      <c r="R501" s="913" t="s">
        <v>1011</v>
      </c>
      <c r="S501" s="1167">
        <f t="shared" si="27"/>
        <v>15</v>
      </c>
      <c r="T501" s="916" t="s">
        <v>1016</v>
      </c>
      <c r="U501" s="917">
        <f t="shared" si="29"/>
        <v>1989600</v>
      </c>
      <c r="Y501" s="544"/>
      <c r="Z501" s="544"/>
      <c r="AA501" s="544"/>
      <c r="AE501" s="1054"/>
    </row>
    <row r="502" spans="1:31" ht="21.75" hidden="1" customHeight="1" x14ac:dyDescent="0.15">
      <c r="A502" s="569"/>
      <c r="B502" s="570"/>
      <c r="C502" s="570"/>
      <c r="D502" s="571"/>
      <c r="E502" s="572"/>
      <c r="F502" s="573"/>
      <c r="G502" s="942"/>
      <c r="H502" s="602"/>
      <c r="I502" s="574"/>
      <c r="J502" s="574"/>
      <c r="K502" s="955"/>
      <c r="L502" s="1217" t="s">
        <v>1028</v>
      </c>
      <c r="M502" s="910"/>
      <c r="N502" s="910" t="s">
        <v>1081</v>
      </c>
      <c r="O502" s="911">
        <f>'사. 임직원보수 일람표'!L55</f>
        <v>16580</v>
      </c>
      <c r="P502" s="913" t="s">
        <v>1012</v>
      </c>
      <c r="Q502" s="923">
        <v>0</v>
      </c>
      <c r="R502" s="913" t="s">
        <v>1011</v>
      </c>
      <c r="S502" s="1167">
        <f t="shared" si="27"/>
        <v>15</v>
      </c>
      <c r="T502" s="916" t="s">
        <v>1050</v>
      </c>
      <c r="U502" s="917">
        <f t="shared" si="29"/>
        <v>0</v>
      </c>
      <c r="Y502" s="544"/>
      <c r="Z502" s="544"/>
      <c r="AA502" s="544"/>
      <c r="AE502" s="1054"/>
    </row>
    <row r="503" spans="1:31" ht="21.75" hidden="1" customHeight="1" x14ac:dyDescent="0.15">
      <c r="A503" s="569"/>
      <c r="B503" s="570"/>
      <c r="C503" s="570"/>
      <c r="D503" s="571"/>
      <c r="E503" s="572"/>
      <c r="F503" s="573"/>
      <c r="G503" s="942"/>
      <c r="H503" s="602"/>
      <c r="I503" s="574"/>
      <c r="J503" s="574"/>
      <c r="K503" s="955"/>
      <c r="L503" s="1217" t="s">
        <v>1071</v>
      </c>
      <c r="M503" s="910"/>
      <c r="N503" s="910" t="s">
        <v>1039</v>
      </c>
      <c r="O503" s="911">
        <f>'사. 임직원보수 일람표'!L56</f>
        <v>17200</v>
      </c>
      <c r="P503" s="913" t="s">
        <v>1011</v>
      </c>
      <c r="Q503" s="923">
        <v>8</v>
      </c>
      <c r="R503" s="913" t="s">
        <v>1012</v>
      </c>
      <c r="S503" s="1167">
        <f t="shared" si="27"/>
        <v>15</v>
      </c>
      <c r="T503" s="916" t="s">
        <v>1050</v>
      </c>
      <c r="U503" s="917">
        <f t="shared" si="29"/>
        <v>2064000</v>
      </c>
      <c r="Y503" s="544"/>
      <c r="Z503" s="544"/>
      <c r="AA503" s="544"/>
      <c r="AE503" s="1054"/>
    </row>
    <row r="504" spans="1:31" ht="21.75" hidden="1" customHeight="1" x14ac:dyDescent="0.15">
      <c r="A504" s="569"/>
      <c r="B504" s="570"/>
      <c r="C504" s="570"/>
      <c r="D504" s="571"/>
      <c r="E504" s="572"/>
      <c r="F504" s="573"/>
      <c r="G504" s="942"/>
      <c r="H504" s="602"/>
      <c r="I504" s="574"/>
      <c r="J504" s="574"/>
      <c r="K504" s="955"/>
      <c r="L504" s="1217" t="s">
        <v>1028</v>
      </c>
      <c r="M504" s="910"/>
      <c r="N504" s="910" t="s">
        <v>1277</v>
      </c>
      <c r="O504" s="911">
        <f>'사. 임직원보수 일람표'!L57</f>
        <v>17780</v>
      </c>
      <c r="P504" s="913" t="s">
        <v>1011</v>
      </c>
      <c r="Q504" s="923">
        <v>8</v>
      </c>
      <c r="R504" s="913" t="s">
        <v>1011</v>
      </c>
      <c r="S504" s="1167">
        <f t="shared" si="27"/>
        <v>15</v>
      </c>
      <c r="T504" s="916" t="s">
        <v>1016</v>
      </c>
      <c r="U504" s="917">
        <f t="shared" si="29"/>
        <v>2133600</v>
      </c>
      <c r="Y504" s="544"/>
      <c r="Z504" s="544"/>
      <c r="AA504" s="544"/>
      <c r="AE504" s="1054"/>
    </row>
    <row r="505" spans="1:31" ht="21.75" hidden="1" customHeight="1" x14ac:dyDescent="0.15">
      <c r="A505" s="569"/>
      <c r="B505" s="570"/>
      <c r="C505" s="570"/>
      <c r="D505" s="571"/>
      <c r="E505" s="572"/>
      <c r="F505" s="573"/>
      <c r="G505" s="942"/>
      <c r="H505" s="602"/>
      <c r="I505" s="574"/>
      <c r="J505" s="574"/>
      <c r="K505" s="955"/>
      <c r="L505" s="1217" t="s">
        <v>1028</v>
      </c>
      <c r="M505" s="910"/>
      <c r="N505" s="910" t="s">
        <v>1277</v>
      </c>
      <c r="O505" s="911">
        <f>'사. 임직원보수 일람표'!L58</f>
        <v>0</v>
      </c>
      <c r="P505" s="913" t="s">
        <v>1012</v>
      </c>
      <c r="Q505" s="923">
        <v>8</v>
      </c>
      <c r="R505" s="913" t="s">
        <v>1011</v>
      </c>
      <c r="S505" s="1167">
        <f t="shared" si="27"/>
        <v>15</v>
      </c>
      <c r="T505" s="916" t="s">
        <v>1050</v>
      </c>
      <c r="U505" s="917">
        <f t="shared" si="29"/>
        <v>0</v>
      </c>
      <c r="Y505" s="544"/>
      <c r="Z505" s="544"/>
      <c r="AA505" s="544"/>
      <c r="AE505" s="1054"/>
    </row>
    <row r="506" spans="1:31" ht="21.75" hidden="1" customHeight="1" x14ac:dyDescent="0.15">
      <c r="A506" s="569"/>
      <c r="B506" s="570"/>
      <c r="C506" s="570"/>
      <c r="D506" s="571"/>
      <c r="E506" s="572"/>
      <c r="F506" s="573"/>
      <c r="G506" s="942"/>
      <c r="H506" s="602"/>
      <c r="I506" s="574"/>
      <c r="J506" s="574"/>
      <c r="K506" s="955"/>
      <c r="L506" s="1217" t="s">
        <v>1028</v>
      </c>
      <c r="M506" s="910"/>
      <c r="N506" s="910" t="s">
        <v>697</v>
      </c>
      <c r="O506" s="911">
        <f>'사. 임직원보수 일람표'!L59</f>
        <v>15060</v>
      </c>
      <c r="P506" s="913" t="s">
        <v>1012</v>
      </c>
      <c r="Q506" s="923">
        <v>8</v>
      </c>
      <c r="R506" s="913" t="s">
        <v>1012</v>
      </c>
      <c r="S506" s="1167">
        <f t="shared" si="27"/>
        <v>15</v>
      </c>
      <c r="T506" s="916" t="s">
        <v>1016</v>
      </c>
      <c r="U506" s="917">
        <f t="shared" si="29"/>
        <v>1807200</v>
      </c>
      <c r="Y506" s="544"/>
      <c r="Z506" s="544"/>
      <c r="AA506" s="544"/>
      <c r="AE506" s="1054"/>
    </row>
    <row r="507" spans="1:31" ht="21.75" hidden="1" customHeight="1" x14ac:dyDescent="0.15">
      <c r="A507" s="569"/>
      <c r="B507" s="570"/>
      <c r="C507" s="570"/>
      <c r="D507" s="571"/>
      <c r="E507" s="572"/>
      <c r="F507" s="573"/>
      <c r="G507" s="942"/>
      <c r="H507" s="602"/>
      <c r="I507" s="574"/>
      <c r="J507" s="574"/>
      <c r="K507" s="955"/>
      <c r="L507" s="1217" t="s">
        <v>1028</v>
      </c>
      <c r="M507" s="910"/>
      <c r="N507" s="910" t="s">
        <v>697</v>
      </c>
      <c r="O507" s="911">
        <f>'사. 임직원보수 일람표'!L60</f>
        <v>15530</v>
      </c>
      <c r="P507" s="913"/>
      <c r="Q507" s="923">
        <v>0</v>
      </c>
      <c r="R507" s="913"/>
      <c r="S507" s="1167">
        <f t="shared" si="27"/>
        <v>15</v>
      </c>
      <c r="T507" s="916"/>
      <c r="U507" s="917"/>
      <c r="Y507" s="544"/>
      <c r="Z507" s="544"/>
      <c r="AA507" s="544"/>
      <c r="AE507" s="1054"/>
    </row>
    <row r="508" spans="1:31" ht="21.75" hidden="1" customHeight="1" x14ac:dyDescent="0.15">
      <c r="A508" s="569"/>
      <c r="B508" s="570"/>
      <c r="C508" s="570"/>
      <c r="D508" s="571"/>
      <c r="E508" s="572"/>
      <c r="F508" s="573"/>
      <c r="G508" s="942"/>
      <c r="H508" s="602"/>
      <c r="I508" s="574"/>
      <c r="J508" s="574"/>
      <c r="K508" s="955"/>
      <c r="L508" s="1217" t="s">
        <v>1028</v>
      </c>
      <c r="M508" s="910"/>
      <c r="N508" s="910" t="s">
        <v>698</v>
      </c>
      <c r="O508" s="911">
        <f>'사. 임직원보수 일람표'!L61</f>
        <v>15060</v>
      </c>
      <c r="P508" s="913" t="s">
        <v>1011</v>
      </c>
      <c r="Q508" s="923">
        <v>0</v>
      </c>
      <c r="R508" s="913" t="s">
        <v>1011</v>
      </c>
      <c r="S508" s="1167">
        <f t="shared" si="27"/>
        <v>15</v>
      </c>
      <c r="T508" s="916" t="s">
        <v>1050</v>
      </c>
      <c r="U508" s="917">
        <f t="shared" ref="U508:U571" si="30">O508*Q508*S508</f>
        <v>0</v>
      </c>
      <c r="Y508" s="544"/>
      <c r="Z508" s="544"/>
      <c r="AA508" s="544"/>
      <c r="AE508" s="1054"/>
    </row>
    <row r="509" spans="1:31" ht="21.75" hidden="1" customHeight="1" x14ac:dyDescent="0.15">
      <c r="A509" s="569"/>
      <c r="B509" s="570"/>
      <c r="C509" s="570"/>
      <c r="D509" s="571"/>
      <c r="E509" s="572"/>
      <c r="F509" s="573"/>
      <c r="G509" s="942"/>
      <c r="H509" s="602"/>
      <c r="I509" s="574"/>
      <c r="J509" s="574"/>
      <c r="K509" s="955"/>
      <c r="L509" s="1217" t="s">
        <v>1028</v>
      </c>
      <c r="M509" s="910"/>
      <c r="N509" s="910" t="s">
        <v>698</v>
      </c>
      <c r="O509" s="911">
        <f>'사. 임직원보수 일람표'!L62</f>
        <v>15530</v>
      </c>
      <c r="P509" s="913" t="s">
        <v>1011</v>
      </c>
      <c r="Q509" s="923">
        <v>8</v>
      </c>
      <c r="R509" s="913" t="s">
        <v>1011</v>
      </c>
      <c r="S509" s="1167">
        <f t="shared" si="27"/>
        <v>15</v>
      </c>
      <c r="T509" s="916" t="s">
        <v>1050</v>
      </c>
      <c r="U509" s="917">
        <f t="shared" si="30"/>
        <v>1863600</v>
      </c>
      <c r="Y509" s="544"/>
      <c r="Z509" s="544"/>
      <c r="AA509" s="544"/>
      <c r="AE509" s="1054"/>
    </row>
    <row r="510" spans="1:31" ht="21.75" hidden="1" customHeight="1" x14ac:dyDescent="0.15">
      <c r="A510" s="569"/>
      <c r="B510" s="570"/>
      <c r="C510" s="570"/>
      <c r="D510" s="571"/>
      <c r="E510" s="572"/>
      <c r="F510" s="573"/>
      <c r="G510" s="942"/>
      <c r="H510" s="602"/>
      <c r="I510" s="574"/>
      <c r="J510" s="574"/>
      <c r="K510" s="955"/>
      <c r="L510" s="1217" t="s">
        <v>1071</v>
      </c>
      <c r="M510" s="910"/>
      <c r="N510" s="910" t="s">
        <v>699</v>
      </c>
      <c r="O510" s="911">
        <f>'사. 임직원보수 일람표'!L63</f>
        <v>14610</v>
      </c>
      <c r="P510" s="913" t="s">
        <v>1011</v>
      </c>
      <c r="Q510" s="923">
        <v>0</v>
      </c>
      <c r="R510" s="913" t="s">
        <v>1012</v>
      </c>
      <c r="S510" s="1167">
        <f t="shared" si="27"/>
        <v>15</v>
      </c>
      <c r="T510" s="916" t="s">
        <v>1016</v>
      </c>
      <c r="U510" s="917">
        <f t="shared" si="30"/>
        <v>0</v>
      </c>
      <c r="Y510" s="544"/>
      <c r="Z510" s="544"/>
      <c r="AA510" s="544"/>
      <c r="AE510" s="1054"/>
    </row>
    <row r="511" spans="1:31" ht="21.75" hidden="1" customHeight="1" x14ac:dyDescent="0.15">
      <c r="A511" s="569"/>
      <c r="B511" s="570"/>
      <c r="C511" s="570"/>
      <c r="D511" s="571"/>
      <c r="E511" s="572"/>
      <c r="F511" s="573"/>
      <c r="G511" s="942"/>
      <c r="H511" s="602"/>
      <c r="I511" s="574"/>
      <c r="J511" s="574"/>
      <c r="K511" s="955"/>
      <c r="L511" s="1217" t="s">
        <v>1071</v>
      </c>
      <c r="M511" s="910"/>
      <c r="N511" s="910" t="s">
        <v>699</v>
      </c>
      <c r="O511" s="911">
        <f>'사. 임직원보수 일람표'!L64</f>
        <v>15060</v>
      </c>
      <c r="P511" s="913" t="s">
        <v>1011</v>
      </c>
      <c r="Q511" s="923">
        <v>8</v>
      </c>
      <c r="R511" s="913" t="s">
        <v>1011</v>
      </c>
      <c r="S511" s="1167">
        <f t="shared" si="27"/>
        <v>15</v>
      </c>
      <c r="T511" s="916" t="s">
        <v>1016</v>
      </c>
      <c r="U511" s="917">
        <f t="shared" si="30"/>
        <v>1807200</v>
      </c>
      <c r="Y511" s="544"/>
      <c r="Z511" s="544"/>
      <c r="AA511" s="544"/>
      <c r="AE511" s="1054"/>
    </row>
    <row r="512" spans="1:31" ht="21.75" hidden="1" customHeight="1" x14ac:dyDescent="0.15">
      <c r="A512" s="569"/>
      <c r="B512" s="570"/>
      <c r="C512" s="570"/>
      <c r="D512" s="571"/>
      <c r="E512" s="572"/>
      <c r="F512" s="573"/>
      <c r="G512" s="942"/>
      <c r="H512" s="602"/>
      <c r="I512" s="574"/>
      <c r="J512" s="574"/>
      <c r="K512" s="955"/>
      <c r="L512" s="1217" t="s">
        <v>1028</v>
      </c>
      <c r="M512" s="910"/>
      <c r="N512" s="910" t="s">
        <v>700</v>
      </c>
      <c r="O512" s="911">
        <f>'사. 임직원보수 일람표'!L65</f>
        <v>15060</v>
      </c>
      <c r="P512" s="913" t="s">
        <v>1012</v>
      </c>
      <c r="Q512" s="923">
        <v>0</v>
      </c>
      <c r="R512" s="913" t="s">
        <v>1012</v>
      </c>
      <c r="S512" s="1167">
        <f t="shared" si="27"/>
        <v>15</v>
      </c>
      <c r="T512" s="916" t="s">
        <v>1050</v>
      </c>
      <c r="U512" s="917">
        <f t="shared" si="30"/>
        <v>0</v>
      </c>
      <c r="Y512" s="544"/>
      <c r="Z512" s="544"/>
      <c r="AA512" s="544"/>
      <c r="AE512" s="1054"/>
    </row>
    <row r="513" spans="1:31" ht="21.75" hidden="1" customHeight="1" x14ac:dyDescent="0.15">
      <c r="A513" s="569"/>
      <c r="B513" s="570"/>
      <c r="C513" s="570"/>
      <c r="D513" s="571"/>
      <c r="E513" s="572"/>
      <c r="F513" s="573"/>
      <c r="G513" s="942"/>
      <c r="H513" s="602"/>
      <c r="I513" s="574"/>
      <c r="J513" s="574"/>
      <c r="K513" s="955"/>
      <c r="L513" s="1217" t="s">
        <v>1071</v>
      </c>
      <c r="M513" s="910"/>
      <c r="N513" s="910" t="s">
        <v>700</v>
      </c>
      <c r="O513" s="911">
        <f>'사. 임직원보수 일람표'!L66</f>
        <v>15530</v>
      </c>
      <c r="P513" s="913" t="s">
        <v>1011</v>
      </c>
      <c r="Q513" s="923">
        <v>8</v>
      </c>
      <c r="R513" s="913" t="s">
        <v>1011</v>
      </c>
      <c r="S513" s="1167">
        <f t="shared" si="27"/>
        <v>15</v>
      </c>
      <c r="T513" s="916" t="s">
        <v>1016</v>
      </c>
      <c r="U513" s="917">
        <f t="shared" si="30"/>
        <v>1863600</v>
      </c>
      <c r="Y513" s="544"/>
      <c r="Z513" s="544"/>
      <c r="AA513" s="544"/>
      <c r="AE513" s="1054"/>
    </row>
    <row r="514" spans="1:31" ht="21.75" hidden="1" customHeight="1" x14ac:dyDescent="0.15">
      <c r="A514" s="569"/>
      <c r="B514" s="570"/>
      <c r="C514" s="570"/>
      <c r="D514" s="571"/>
      <c r="E514" s="572"/>
      <c r="F514" s="573"/>
      <c r="G514" s="942"/>
      <c r="H514" s="602"/>
      <c r="I514" s="574"/>
      <c r="J514" s="574"/>
      <c r="K514" s="955"/>
      <c r="L514" s="1217" t="s">
        <v>1028</v>
      </c>
      <c r="M514" s="910"/>
      <c r="N514" s="910" t="s">
        <v>982</v>
      </c>
      <c r="O514" s="911">
        <f>'사. 임직원보수 일람표'!L67</f>
        <v>15530</v>
      </c>
      <c r="P514" s="913" t="s">
        <v>1011</v>
      </c>
      <c r="Q514" s="923">
        <v>8</v>
      </c>
      <c r="R514" s="913" t="s">
        <v>1011</v>
      </c>
      <c r="S514" s="1167">
        <f t="shared" si="27"/>
        <v>15</v>
      </c>
      <c r="T514" s="916" t="s">
        <v>1050</v>
      </c>
      <c r="U514" s="917">
        <f t="shared" si="30"/>
        <v>1863600</v>
      </c>
      <c r="Y514" s="544"/>
      <c r="Z514" s="544"/>
      <c r="AA514" s="544"/>
      <c r="AE514" s="1054"/>
    </row>
    <row r="515" spans="1:31" ht="21.75" hidden="1" customHeight="1" x14ac:dyDescent="0.15">
      <c r="A515" s="569"/>
      <c r="B515" s="570"/>
      <c r="C515" s="570"/>
      <c r="D515" s="571"/>
      <c r="E515" s="572"/>
      <c r="F515" s="573"/>
      <c r="G515" s="942"/>
      <c r="H515" s="602"/>
      <c r="I515" s="574"/>
      <c r="J515" s="574"/>
      <c r="K515" s="955"/>
      <c r="L515" s="1217" t="s">
        <v>1028</v>
      </c>
      <c r="M515" s="910"/>
      <c r="N515" s="910" t="s">
        <v>982</v>
      </c>
      <c r="O515" s="911">
        <f>'사. 임직원보수 일람표'!L68</f>
        <v>0</v>
      </c>
      <c r="P515" s="913" t="s">
        <v>724</v>
      </c>
      <c r="Q515" s="923">
        <v>0</v>
      </c>
      <c r="R515" s="913" t="s">
        <v>1011</v>
      </c>
      <c r="S515" s="1167">
        <f t="shared" si="27"/>
        <v>15</v>
      </c>
      <c r="T515" s="916" t="s">
        <v>1050</v>
      </c>
      <c r="U515" s="917">
        <f t="shared" si="30"/>
        <v>0</v>
      </c>
      <c r="Y515" s="544"/>
      <c r="Z515" s="544"/>
      <c r="AA515" s="544"/>
      <c r="AE515" s="1054"/>
    </row>
    <row r="516" spans="1:31" ht="21.75" hidden="1" customHeight="1" x14ac:dyDescent="0.15">
      <c r="A516" s="569"/>
      <c r="B516" s="570"/>
      <c r="C516" s="570"/>
      <c r="D516" s="571"/>
      <c r="E516" s="572"/>
      <c r="F516" s="573"/>
      <c r="G516" s="942"/>
      <c r="H516" s="602"/>
      <c r="I516" s="574"/>
      <c r="J516" s="574"/>
      <c r="K516" s="955"/>
      <c r="L516" s="1217" t="s">
        <v>1028</v>
      </c>
      <c r="M516" s="910"/>
      <c r="N516" s="910" t="s">
        <v>701</v>
      </c>
      <c r="O516" s="911">
        <f>'사. 임직원보수 일람표'!L69</f>
        <v>15530</v>
      </c>
      <c r="P516" s="913" t="s">
        <v>1011</v>
      </c>
      <c r="Q516" s="923">
        <v>8</v>
      </c>
      <c r="R516" s="913" t="s">
        <v>1011</v>
      </c>
      <c r="S516" s="1167">
        <f t="shared" si="27"/>
        <v>15</v>
      </c>
      <c r="T516" s="916" t="s">
        <v>345</v>
      </c>
      <c r="U516" s="917">
        <f t="shared" si="30"/>
        <v>1863600</v>
      </c>
      <c r="Y516" s="544"/>
      <c r="Z516" s="544"/>
      <c r="AA516" s="544"/>
      <c r="AE516" s="1054"/>
    </row>
    <row r="517" spans="1:31" ht="21.75" hidden="1" customHeight="1" x14ac:dyDescent="0.15">
      <c r="A517" s="569"/>
      <c r="B517" s="570"/>
      <c r="C517" s="570"/>
      <c r="D517" s="571"/>
      <c r="E517" s="572"/>
      <c r="F517" s="573"/>
      <c r="G517" s="942"/>
      <c r="H517" s="602"/>
      <c r="I517" s="574"/>
      <c r="J517" s="574"/>
      <c r="K517" s="955"/>
      <c r="L517" s="1217" t="s">
        <v>680</v>
      </c>
      <c r="M517" s="910"/>
      <c r="N517" s="910" t="s">
        <v>701</v>
      </c>
      <c r="O517" s="911">
        <f>'사. 임직원보수 일람표'!L70</f>
        <v>16030</v>
      </c>
      <c r="P517" s="913" t="s">
        <v>1011</v>
      </c>
      <c r="Q517" s="923">
        <v>0</v>
      </c>
      <c r="R517" s="913" t="s">
        <v>1012</v>
      </c>
      <c r="S517" s="1167">
        <f t="shared" si="27"/>
        <v>15</v>
      </c>
      <c r="T517" s="916" t="s">
        <v>1050</v>
      </c>
      <c r="U517" s="917">
        <f t="shared" si="30"/>
        <v>0</v>
      </c>
      <c r="Y517" s="544"/>
      <c r="Z517" s="544"/>
      <c r="AA517" s="544"/>
      <c r="AE517" s="1054"/>
    </row>
    <row r="518" spans="1:31" ht="21.75" hidden="1" customHeight="1" x14ac:dyDescent="0.15">
      <c r="A518" s="569"/>
      <c r="B518" s="570"/>
      <c r="C518" s="570"/>
      <c r="D518" s="571"/>
      <c r="E518" s="572"/>
      <c r="F518" s="573"/>
      <c r="G518" s="942"/>
      <c r="H518" s="602"/>
      <c r="I518" s="574"/>
      <c r="J518" s="574"/>
      <c r="K518" s="955"/>
      <c r="L518" s="1217" t="s">
        <v>1071</v>
      </c>
      <c r="M518" s="910"/>
      <c r="N518" s="910" t="s">
        <v>702</v>
      </c>
      <c r="O518" s="911">
        <f>'사. 임직원보수 일람표'!L71</f>
        <v>17200</v>
      </c>
      <c r="P518" s="913" t="s">
        <v>1012</v>
      </c>
      <c r="Q518" s="923">
        <v>0</v>
      </c>
      <c r="R518" s="913" t="s">
        <v>1012</v>
      </c>
      <c r="S518" s="1167">
        <f t="shared" ref="S518:S547" si="31">S517</f>
        <v>15</v>
      </c>
      <c r="T518" s="916" t="s">
        <v>1016</v>
      </c>
      <c r="U518" s="917">
        <f t="shared" si="30"/>
        <v>0</v>
      </c>
      <c r="Y518" s="544"/>
      <c r="Z518" s="544"/>
      <c r="AA518" s="544"/>
      <c r="AE518" s="1054"/>
    </row>
    <row r="519" spans="1:31" ht="21.75" hidden="1" customHeight="1" x14ac:dyDescent="0.15">
      <c r="A519" s="569"/>
      <c r="B519" s="570"/>
      <c r="C519" s="570"/>
      <c r="D519" s="571"/>
      <c r="E519" s="572"/>
      <c r="F519" s="573"/>
      <c r="G519" s="942"/>
      <c r="H519" s="602"/>
      <c r="I519" s="574"/>
      <c r="J519" s="574"/>
      <c r="K519" s="955"/>
      <c r="L519" s="1217" t="s">
        <v>1028</v>
      </c>
      <c r="M519" s="910"/>
      <c r="N519" s="910" t="s">
        <v>702</v>
      </c>
      <c r="O519" s="911">
        <f>'사. 임직원보수 일람표'!L72</f>
        <v>17780</v>
      </c>
      <c r="P519" s="913" t="s">
        <v>1011</v>
      </c>
      <c r="Q519" s="923">
        <v>8</v>
      </c>
      <c r="R519" s="913" t="s">
        <v>1012</v>
      </c>
      <c r="S519" s="1167">
        <f t="shared" si="31"/>
        <v>15</v>
      </c>
      <c r="T519" s="916" t="s">
        <v>1016</v>
      </c>
      <c r="U519" s="917">
        <f t="shared" si="30"/>
        <v>2133600</v>
      </c>
      <c r="Y519" s="544"/>
      <c r="Z519" s="544"/>
      <c r="AA519" s="544"/>
      <c r="AE519" s="1054"/>
    </row>
    <row r="520" spans="1:31" ht="21.75" hidden="1" customHeight="1" x14ac:dyDescent="0.15">
      <c r="A520" s="569"/>
      <c r="B520" s="570"/>
      <c r="C520" s="570"/>
      <c r="D520" s="571"/>
      <c r="E520" s="572"/>
      <c r="F520" s="573"/>
      <c r="G520" s="942"/>
      <c r="H520" s="602"/>
      <c r="I520" s="574"/>
      <c r="J520" s="574"/>
      <c r="K520" s="955"/>
      <c r="L520" s="1217" t="s">
        <v>1028</v>
      </c>
      <c r="M520" s="910"/>
      <c r="N520" s="910" t="s">
        <v>703</v>
      </c>
      <c r="O520" s="911">
        <f>'사. 임직원보수 일람표'!L73</f>
        <v>16030</v>
      </c>
      <c r="P520" s="913" t="s">
        <v>1012</v>
      </c>
      <c r="Q520" s="923">
        <v>0</v>
      </c>
      <c r="R520" s="913" t="s">
        <v>1012</v>
      </c>
      <c r="S520" s="1167">
        <f t="shared" si="31"/>
        <v>15</v>
      </c>
      <c r="T520" s="916" t="s">
        <v>345</v>
      </c>
      <c r="U520" s="917">
        <f t="shared" si="30"/>
        <v>0</v>
      </c>
      <c r="Y520" s="544"/>
      <c r="Z520" s="544"/>
      <c r="AA520" s="544"/>
      <c r="AE520" s="1054"/>
    </row>
    <row r="521" spans="1:31" ht="21.75" hidden="1" customHeight="1" x14ac:dyDescent="0.15">
      <c r="A521" s="569"/>
      <c r="B521" s="570"/>
      <c r="C521" s="570"/>
      <c r="D521" s="571"/>
      <c r="E521" s="572"/>
      <c r="F521" s="573"/>
      <c r="G521" s="942"/>
      <c r="H521" s="602"/>
      <c r="I521" s="574"/>
      <c r="J521" s="574"/>
      <c r="K521" s="955"/>
      <c r="L521" s="1217" t="s">
        <v>1028</v>
      </c>
      <c r="M521" s="910"/>
      <c r="N521" s="910" t="s">
        <v>703</v>
      </c>
      <c r="O521" s="911">
        <f>'사. 임직원보수 일람표'!L74</f>
        <v>16580</v>
      </c>
      <c r="P521" s="913" t="s">
        <v>1012</v>
      </c>
      <c r="Q521" s="923">
        <v>8</v>
      </c>
      <c r="R521" s="913" t="s">
        <v>1011</v>
      </c>
      <c r="S521" s="1167">
        <f t="shared" si="31"/>
        <v>15</v>
      </c>
      <c r="T521" s="916" t="s">
        <v>1050</v>
      </c>
      <c r="U521" s="917">
        <f t="shared" si="30"/>
        <v>1989600</v>
      </c>
      <c r="Y521" s="544"/>
      <c r="Z521" s="544"/>
      <c r="AA521" s="544"/>
      <c r="AE521" s="1054"/>
    </row>
    <row r="522" spans="1:31" ht="21.75" hidden="1" customHeight="1" x14ac:dyDescent="0.15">
      <c r="A522" s="569"/>
      <c r="B522" s="570"/>
      <c r="C522" s="570"/>
      <c r="D522" s="571"/>
      <c r="E522" s="572"/>
      <c r="F522" s="573"/>
      <c r="G522" s="942"/>
      <c r="H522" s="602"/>
      <c r="I522" s="574"/>
      <c r="J522" s="574"/>
      <c r="K522" s="955"/>
      <c r="L522" s="1217" t="s">
        <v>1071</v>
      </c>
      <c r="M522" s="910"/>
      <c r="N522" s="910" t="s">
        <v>704</v>
      </c>
      <c r="O522" s="911">
        <f>'사. 임직원보수 일람표'!L75</f>
        <v>16030</v>
      </c>
      <c r="P522" s="913" t="s">
        <v>1011</v>
      </c>
      <c r="Q522" s="923">
        <v>0</v>
      </c>
      <c r="R522" s="913" t="s">
        <v>1011</v>
      </c>
      <c r="S522" s="1167">
        <f t="shared" si="31"/>
        <v>15</v>
      </c>
      <c r="T522" s="916" t="s">
        <v>1050</v>
      </c>
      <c r="U522" s="917">
        <f t="shared" si="30"/>
        <v>0</v>
      </c>
      <c r="Y522" s="544"/>
      <c r="Z522" s="544"/>
      <c r="AA522" s="544"/>
      <c r="AE522" s="1054"/>
    </row>
    <row r="523" spans="1:31" ht="21.75" hidden="1" customHeight="1" x14ac:dyDescent="0.15">
      <c r="A523" s="569"/>
      <c r="B523" s="570"/>
      <c r="C523" s="570"/>
      <c r="D523" s="571"/>
      <c r="E523" s="572"/>
      <c r="F523" s="573"/>
      <c r="G523" s="942"/>
      <c r="H523" s="602"/>
      <c r="I523" s="574"/>
      <c r="J523" s="574"/>
      <c r="K523" s="955"/>
      <c r="L523" s="1217" t="s">
        <v>1071</v>
      </c>
      <c r="M523" s="910"/>
      <c r="N523" s="910" t="s">
        <v>704</v>
      </c>
      <c r="O523" s="911">
        <f>'사. 임직원보수 일람표'!L76</f>
        <v>16580</v>
      </c>
      <c r="P523" s="913" t="s">
        <v>1012</v>
      </c>
      <c r="Q523" s="923">
        <v>8</v>
      </c>
      <c r="R523" s="913" t="s">
        <v>1012</v>
      </c>
      <c r="S523" s="1167">
        <f t="shared" si="31"/>
        <v>15</v>
      </c>
      <c r="T523" s="916" t="s">
        <v>1016</v>
      </c>
      <c r="U523" s="917">
        <f t="shared" si="30"/>
        <v>1989600</v>
      </c>
      <c r="Y523" s="544"/>
      <c r="Z523" s="544"/>
      <c r="AA523" s="544"/>
      <c r="AE523" s="1054"/>
    </row>
    <row r="524" spans="1:31" ht="21.75" hidden="1" customHeight="1" x14ac:dyDescent="0.15">
      <c r="A524" s="569"/>
      <c r="B524" s="570"/>
      <c r="C524" s="570"/>
      <c r="D524" s="571"/>
      <c r="E524" s="572"/>
      <c r="F524" s="573"/>
      <c r="G524" s="942"/>
      <c r="H524" s="602"/>
      <c r="I524" s="574"/>
      <c r="J524" s="574"/>
      <c r="K524" s="955"/>
      <c r="L524" s="1217" t="s">
        <v>1071</v>
      </c>
      <c r="M524" s="910"/>
      <c r="N524" s="910" t="s">
        <v>705</v>
      </c>
      <c r="O524" s="911">
        <f>'사. 임직원보수 일람표'!L77</f>
        <v>16580</v>
      </c>
      <c r="P524" s="913" t="s">
        <v>1012</v>
      </c>
      <c r="Q524" s="923">
        <v>0</v>
      </c>
      <c r="R524" s="913" t="s">
        <v>1011</v>
      </c>
      <c r="S524" s="1167">
        <f t="shared" si="31"/>
        <v>15</v>
      </c>
      <c r="T524" s="916" t="s">
        <v>1050</v>
      </c>
      <c r="U524" s="917">
        <f t="shared" si="30"/>
        <v>0</v>
      </c>
      <c r="Y524" s="544"/>
      <c r="Z524" s="544"/>
      <c r="AA524" s="544"/>
      <c r="AE524" s="1054"/>
    </row>
    <row r="525" spans="1:31" ht="21.75" hidden="1" customHeight="1" x14ac:dyDescent="0.15">
      <c r="A525" s="569"/>
      <c r="B525" s="570"/>
      <c r="C525" s="570"/>
      <c r="D525" s="571"/>
      <c r="E525" s="572"/>
      <c r="F525" s="573"/>
      <c r="G525" s="942"/>
      <c r="H525" s="602"/>
      <c r="I525" s="574"/>
      <c r="J525" s="574"/>
      <c r="K525" s="955"/>
      <c r="L525" s="1217" t="s">
        <v>1028</v>
      </c>
      <c r="M525" s="910"/>
      <c r="N525" s="910" t="s">
        <v>227</v>
      </c>
      <c r="O525" s="911">
        <f>'사. 임직원보수 일람표'!L78</f>
        <v>17200</v>
      </c>
      <c r="P525" s="913" t="s">
        <v>1011</v>
      </c>
      <c r="Q525" s="923">
        <v>8</v>
      </c>
      <c r="R525" s="913" t="s">
        <v>1011</v>
      </c>
      <c r="S525" s="1167">
        <f t="shared" si="31"/>
        <v>15</v>
      </c>
      <c r="T525" s="916" t="s">
        <v>1050</v>
      </c>
      <c r="U525" s="917">
        <f t="shared" si="30"/>
        <v>2064000</v>
      </c>
      <c r="Y525" s="544"/>
      <c r="Z525" s="544"/>
      <c r="AA525" s="544"/>
      <c r="AE525" s="1054"/>
    </row>
    <row r="526" spans="1:31" ht="21.75" hidden="1" customHeight="1" x14ac:dyDescent="0.15">
      <c r="A526" s="569"/>
      <c r="B526" s="570"/>
      <c r="C526" s="570"/>
      <c r="D526" s="571"/>
      <c r="E526" s="572"/>
      <c r="F526" s="573"/>
      <c r="G526" s="942"/>
      <c r="H526" s="602"/>
      <c r="I526" s="574"/>
      <c r="J526" s="574"/>
      <c r="K526" s="955"/>
      <c r="L526" s="1217" t="s">
        <v>1071</v>
      </c>
      <c r="M526" s="910"/>
      <c r="N526" s="910" t="s">
        <v>1090</v>
      </c>
      <c r="O526" s="911">
        <f>'사. 임직원보수 일람표'!L79</f>
        <v>14610</v>
      </c>
      <c r="P526" s="913" t="s">
        <v>1011</v>
      </c>
      <c r="Q526" s="923">
        <v>0</v>
      </c>
      <c r="R526" s="913" t="s">
        <v>1012</v>
      </c>
      <c r="S526" s="1167">
        <f t="shared" si="31"/>
        <v>15</v>
      </c>
      <c r="T526" s="916" t="s">
        <v>1016</v>
      </c>
      <c r="U526" s="917">
        <f t="shared" si="30"/>
        <v>0</v>
      </c>
      <c r="Y526" s="544"/>
      <c r="Z526" s="544"/>
      <c r="AA526" s="544"/>
      <c r="AE526" s="1054"/>
    </row>
    <row r="527" spans="1:31" ht="21.75" hidden="1" customHeight="1" x14ac:dyDescent="0.15">
      <c r="A527" s="569"/>
      <c r="B527" s="570"/>
      <c r="C527" s="570"/>
      <c r="D527" s="571"/>
      <c r="E527" s="572"/>
      <c r="F527" s="573"/>
      <c r="G527" s="942"/>
      <c r="H527" s="602"/>
      <c r="I527" s="574"/>
      <c r="J527" s="574"/>
      <c r="K527" s="955"/>
      <c r="L527" s="1217" t="s">
        <v>1071</v>
      </c>
      <c r="M527" s="910"/>
      <c r="N527" s="910" t="s">
        <v>1090</v>
      </c>
      <c r="O527" s="911">
        <f>'사. 임직원보수 일람표'!L80</f>
        <v>15060</v>
      </c>
      <c r="P527" s="913" t="s">
        <v>1011</v>
      </c>
      <c r="Q527" s="923">
        <v>8</v>
      </c>
      <c r="R527" s="913" t="s">
        <v>1011</v>
      </c>
      <c r="S527" s="1167">
        <f t="shared" si="31"/>
        <v>15</v>
      </c>
      <c r="T527" s="916" t="s">
        <v>1050</v>
      </c>
      <c r="U527" s="917">
        <f t="shared" si="30"/>
        <v>1807200</v>
      </c>
      <c r="Y527" s="544"/>
      <c r="Z527" s="544"/>
      <c r="AA527" s="544"/>
      <c r="AE527" s="1054"/>
    </row>
    <row r="528" spans="1:31" ht="21.75" hidden="1" customHeight="1" x14ac:dyDescent="0.15">
      <c r="A528" s="569"/>
      <c r="B528" s="570"/>
      <c r="C528" s="570"/>
      <c r="D528" s="571"/>
      <c r="E528" s="572"/>
      <c r="F528" s="573"/>
      <c r="G528" s="942"/>
      <c r="H528" s="602"/>
      <c r="I528" s="574"/>
      <c r="J528" s="574"/>
      <c r="K528" s="955"/>
      <c r="L528" s="1217" t="s">
        <v>1028</v>
      </c>
      <c r="M528" s="910"/>
      <c r="N528" s="910" t="s">
        <v>1278</v>
      </c>
      <c r="O528" s="911">
        <f>'사. 임직원보수 일람표'!L81</f>
        <v>19590</v>
      </c>
      <c r="P528" s="913" t="s">
        <v>1011</v>
      </c>
      <c r="Q528" s="923">
        <v>0</v>
      </c>
      <c r="R528" s="913" t="s">
        <v>1012</v>
      </c>
      <c r="S528" s="1167">
        <f t="shared" si="31"/>
        <v>15</v>
      </c>
      <c r="T528" s="916" t="s">
        <v>1050</v>
      </c>
      <c r="U528" s="917">
        <f t="shared" si="30"/>
        <v>0</v>
      </c>
      <c r="Y528" s="544"/>
      <c r="Z528" s="544"/>
      <c r="AA528" s="544"/>
      <c r="AE528" s="1054"/>
    </row>
    <row r="529" spans="1:31" ht="21.75" hidden="1" customHeight="1" x14ac:dyDescent="0.15">
      <c r="A529" s="569"/>
      <c r="B529" s="570"/>
      <c r="C529" s="570"/>
      <c r="D529" s="571"/>
      <c r="E529" s="572"/>
      <c r="F529" s="573"/>
      <c r="G529" s="942"/>
      <c r="H529" s="602"/>
      <c r="I529" s="574"/>
      <c r="J529" s="574"/>
      <c r="K529" s="955"/>
      <c r="L529" s="1217" t="s">
        <v>1028</v>
      </c>
      <c r="M529" s="910"/>
      <c r="N529" s="910" t="s">
        <v>1279</v>
      </c>
      <c r="O529" s="911">
        <f>'사. 임직원보수 일람표'!L82</f>
        <v>20020</v>
      </c>
      <c r="P529" s="913" t="s">
        <v>1012</v>
      </c>
      <c r="Q529" s="923">
        <v>8</v>
      </c>
      <c r="R529" s="913" t="s">
        <v>1012</v>
      </c>
      <c r="S529" s="1167">
        <f t="shared" si="31"/>
        <v>15</v>
      </c>
      <c r="T529" s="916" t="s">
        <v>1016</v>
      </c>
      <c r="U529" s="917">
        <f t="shared" si="30"/>
        <v>2402400</v>
      </c>
      <c r="Y529" s="544"/>
      <c r="Z529" s="544"/>
      <c r="AA529" s="544"/>
      <c r="AE529" s="1054"/>
    </row>
    <row r="530" spans="1:31" ht="21.75" hidden="1" customHeight="1" x14ac:dyDescent="0.15">
      <c r="A530" s="569"/>
      <c r="B530" s="570"/>
      <c r="C530" s="570"/>
      <c r="D530" s="571"/>
      <c r="E530" s="572"/>
      <c r="F530" s="573"/>
      <c r="G530" s="942"/>
      <c r="H530" s="602"/>
      <c r="I530" s="574"/>
      <c r="J530" s="574"/>
      <c r="K530" s="955"/>
      <c r="L530" s="1217" t="s">
        <v>1028</v>
      </c>
      <c r="M530" s="910"/>
      <c r="N530" s="910" t="s">
        <v>1271</v>
      </c>
      <c r="O530" s="911">
        <f>'사. 임직원보수 일람표'!L83</f>
        <v>14200</v>
      </c>
      <c r="P530" s="913" t="s">
        <v>1082</v>
      </c>
      <c r="Q530" s="923">
        <v>0</v>
      </c>
      <c r="R530" s="913" t="s">
        <v>1082</v>
      </c>
      <c r="S530" s="1167">
        <f t="shared" si="31"/>
        <v>15</v>
      </c>
      <c r="T530" s="916" t="s">
        <v>1057</v>
      </c>
      <c r="U530" s="917">
        <f t="shared" si="30"/>
        <v>0</v>
      </c>
      <c r="Y530" s="544"/>
      <c r="Z530" s="544"/>
      <c r="AA530" s="544"/>
      <c r="AE530" s="1054"/>
    </row>
    <row r="531" spans="1:31" ht="21.75" hidden="1" customHeight="1" x14ac:dyDescent="0.15">
      <c r="A531" s="569"/>
      <c r="B531" s="570"/>
      <c r="C531" s="570"/>
      <c r="D531" s="571"/>
      <c r="E531" s="572"/>
      <c r="F531" s="573"/>
      <c r="G531" s="942"/>
      <c r="H531" s="602"/>
      <c r="I531" s="574"/>
      <c r="J531" s="574"/>
      <c r="K531" s="955"/>
      <c r="L531" s="1217" t="s">
        <v>1083</v>
      </c>
      <c r="M531" s="910"/>
      <c r="N531" s="910" t="s">
        <v>1280</v>
      </c>
      <c r="O531" s="911">
        <f>'사. 임직원보수 일람표'!L84</f>
        <v>14610</v>
      </c>
      <c r="P531" s="913" t="s">
        <v>1011</v>
      </c>
      <c r="Q531" s="923">
        <v>0</v>
      </c>
      <c r="R531" s="913" t="s">
        <v>1082</v>
      </c>
      <c r="S531" s="1167">
        <f t="shared" si="31"/>
        <v>15</v>
      </c>
      <c r="T531" s="916" t="s">
        <v>1057</v>
      </c>
      <c r="U531" s="917">
        <f t="shared" si="30"/>
        <v>0</v>
      </c>
      <c r="Y531" s="544"/>
      <c r="Z531" s="544"/>
      <c r="AA531" s="544"/>
      <c r="AE531" s="1054"/>
    </row>
    <row r="532" spans="1:31" ht="21.75" hidden="1" customHeight="1" x14ac:dyDescent="0.15">
      <c r="A532" s="569"/>
      <c r="B532" s="570"/>
      <c r="C532" s="570"/>
      <c r="D532" s="571"/>
      <c r="E532" s="572"/>
      <c r="F532" s="573"/>
      <c r="G532" s="942"/>
      <c r="H532" s="602"/>
      <c r="I532" s="574"/>
      <c r="J532" s="574"/>
      <c r="K532" s="955"/>
      <c r="L532" s="1217" t="s">
        <v>1084</v>
      </c>
      <c r="M532" s="910"/>
      <c r="N532" s="910" t="s">
        <v>1281</v>
      </c>
      <c r="O532" s="911">
        <f>'사. 임직원보수 일람표'!L85</f>
        <v>14200</v>
      </c>
      <c r="P532" s="913" t="s">
        <v>1011</v>
      </c>
      <c r="Q532" s="923">
        <v>0</v>
      </c>
      <c r="R532" s="913" t="s">
        <v>1011</v>
      </c>
      <c r="S532" s="1167">
        <f t="shared" si="31"/>
        <v>15</v>
      </c>
      <c r="T532" s="916" t="s">
        <v>1050</v>
      </c>
      <c r="U532" s="917">
        <f t="shared" si="30"/>
        <v>0</v>
      </c>
      <c r="Y532" s="544"/>
      <c r="Z532" s="544"/>
      <c r="AA532" s="544"/>
      <c r="AE532" s="1054"/>
    </row>
    <row r="533" spans="1:31" ht="21.75" hidden="1" customHeight="1" x14ac:dyDescent="0.15">
      <c r="A533" s="569"/>
      <c r="B533" s="570"/>
      <c r="C533" s="570"/>
      <c r="D533" s="571"/>
      <c r="E533" s="572"/>
      <c r="F533" s="573"/>
      <c r="G533" s="942"/>
      <c r="H533" s="602"/>
      <c r="I533" s="574"/>
      <c r="J533" s="574"/>
      <c r="K533" s="955"/>
      <c r="L533" s="1217" t="s">
        <v>1084</v>
      </c>
      <c r="M533" s="910"/>
      <c r="N533" s="910" t="s">
        <v>1269</v>
      </c>
      <c r="O533" s="911">
        <f>'사. 임직원보수 일람표'!L86</f>
        <v>14610</v>
      </c>
      <c r="P533" s="913" t="s">
        <v>724</v>
      </c>
      <c r="Q533" s="923">
        <v>8</v>
      </c>
      <c r="R533" s="913" t="s">
        <v>1012</v>
      </c>
      <c r="S533" s="1167">
        <f t="shared" si="31"/>
        <v>15</v>
      </c>
      <c r="T533" s="916" t="s">
        <v>1050</v>
      </c>
      <c r="U533" s="917">
        <f t="shared" si="30"/>
        <v>1753200</v>
      </c>
      <c r="Y533" s="544"/>
      <c r="Z533" s="544"/>
      <c r="AA533" s="544"/>
      <c r="AE533" s="1054"/>
    </row>
    <row r="534" spans="1:31" ht="21.75" hidden="1" customHeight="1" x14ac:dyDescent="0.15">
      <c r="A534" s="569"/>
      <c r="B534" s="570"/>
      <c r="C534" s="570"/>
      <c r="D534" s="571"/>
      <c r="E534" s="572"/>
      <c r="F534" s="573"/>
      <c r="G534" s="942"/>
      <c r="H534" s="602"/>
      <c r="I534" s="574"/>
      <c r="J534" s="574"/>
      <c r="K534" s="955"/>
      <c r="L534" s="1217" t="s">
        <v>680</v>
      </c>
      <c r="M534" s="910"/>
      <c r="N534" s="910" t="s">
        <v>1282</v>
      </c>
      <c r="O534" s="911">
        <f>'사. 임직원보수 일람표'!L87</f>
        <v>14200</v>
      </c>
      <c r="P534" s="913" t="s">
        <v>724</v>
      </c>
      <c r="Q534" s="923">
        <v>0</v>
      </c>
      <c r="R534" s="913" t="s">
        <v>1012</v>
      </c>
      <c r="S534" s="1167">
        <f t="shared" si="31"/>
        <v>15</v>
      </c>
      <c r="T534" s="916" t="s">
        <v>1016</v>
      </c>
      <c r="U534" s="917">
        <f t="shared" si="30"/>
        <v>0</v>
      </c>
      <c r="Y534" s="544"/>
      <c r="Z534" s="544"/>
      <c r="AA534" s="544"/>
      <c r="AE534" s="1054"/>
    </row>
    <row r="535" spans="1:31" ht="21.75" hidden="1" customHeight="1" x14ac:dyDescent="0.15">
      <c r="A535" s="569"/>
      <c r="B535" s="570"/>
      <c r="C535" s="570"/>
      <c r="D535" s="571"/>
      <c r="E535" s="572"/>
      <c r="F535" s="573"/>
      <c r="G535" s="942"/>
      <c r="H535" s="602"/>
      <c r="I535" s="574"/>
      <c r="J535" s="574"/>
      <c r="K535" s="955"/>
      <c r="L535" s="1217" t="s">
        <v>1084</v>
      </c>
      <c r="M535" s="910"/>
      <c r="N535" s="910" t="s">
        <v>1274</v>
      </c>
      <c r="O535" s="911">
        <f>'사. 임직원보수 일람표'!L88</f>
        <v>14610</v>
      </c>
      <c r="P535" s="913" t="s">
        <v>724</v>
      </c>
      <c r="Q535" s="923">
        <v>8</v>
      </c>
      <c r="R535" s="913" t="s">
        <v>1082</v>
      </c>
      <c r="S535" s="1167">
        <f t="shared" si="31"/>
        <v>15</v>
      </c>
      <c r="T535" s="916" t="s">
        <v>1016</v>
      </c>
      <c r="U535" s="917">
        <f t="shared" si="30"/>
        <v>1753200</v>
      </c>
      <c r="Y535" s="544"/>
      <c r="Z535" s="544"/>
      <c r="AA535" s="544"/>
      <c r="AE535" s="1054"/>
    </row>
    <row r="536" spans="1:31" ht="21.75" hidden="1" customHeight="1" x14ac:dyDescent="0.15">
      <c r="A536" s="569"/>
      <c r="B536" s="570"/>
      <c r="C536" s="570"/>
      <c r="D536" s="571"/>
      <c r="E536" s="572"/>
      <c r="F536" s="573"/>
      <c r="G536" s="942"/>
      <c r="H536" s="602"/>
      <c r="I536" s="574"/>
      <c r="J536" s="574"/>
      <c r="K536" s="955"/>
      <c r="L536" s="1217" t="s">
        <v>1028</v>
      </c>
      <c r="M536" s="910"/>
      <c r="N536" s="910" t="s">
        <v>1283</v>
      </c>
      <c r="O536" s="911">
        <f>'사. 임직원보수 일람표'!L89</f>
        <v>17200</v>
      </c>
      <c r="P536" s="913" t="s">
        <v>1082</v>
      </c>
      <c r="Q536" s="923">
        <v>8</v>
      </c>
      <c r="R536" s="913" t="s">
        <v>1012</v>
      </c>
      <c r="S536" s="1167">
        <f t="shared" si="31"/>
        <v>15</v>
      </c>
      <c r="T536" s="916" t="s">
        <v>1016</v>
      </c>
      <c r="U536" s="917">
        <f t="shared" si="30"/>
        <v>2064000</v>
      </c>
      <c r="Y536" s="544"/>
      <c r="Z536" s="544"/>
      <c r="AA536" s="544"/>
      <c r="AE536" s="1054"/>
    </row>
    <row r="537" spans="1:31" ht="21.75" hidden="1" customHeight="1" x14ac:dyDescent="0.15">
      <c r="A537" s="569"/>
      <c r="B537" s="570"/>
      <c r="C537" s="570"/>
      <c r="D537" s="571"/>
      <c r="E537" s="572"/>
      <c r="F537" s="573"/>
      <c r="G537" s="942"/>
      <c r="H537" s="602"/>
      <c r="I537" s="574"/>
      <c r="J537" s="574"/>
      <c r="K537" s="955"/>
      <c r="L537" s="1217" t="s">
        <v>1028</v>
      </c>
      <c r="M537" s="910"/>
      <c r="N537" s="910" t="s">
        <v>1284</v>
      </c>
      <c r="O537" s="911">
        <f>'사. 임직원보수 일람표'!L90</f>
        <v>0</v>
      </c>
      <c r="P537" s="913" t="s">
        <v>1012</v>
      </c>
      <c r="Q537" s="923">
        <v>8</v>
      </c>
      <c r="R537" s="913" t="s">
        <v>1011</v>
      </c>
      <c r="S537" s="1167">
        <f t="shared" si="31"/>
        <v>15</v>
      </c>
      <c r="T537" s="916" t="s">
        <v>1016</v>
      </c>
      <c r="U537" s="917">
        <f t="shared" si="30"/>
        <v>0</v>
      </c>
      <c r="Y537" s="544"/>
      <c r="Z537" s="544"/>
      <c r="AA537" s="544"/>
      <c r="AE537" s="1054"/>
    </row>
    <row r="538" spans="1:31" ht="21.75" hidden="1" customHeight="1" x14ac:dyDescent="0.15">
      <c r="A538" s="569"/>
      <c r="B538" s="570"/>
      <c r="C538" s="570"/>
      <c r="D538" s="571"/>
      <c r="E538" s="572"/>
      <c r="F538" s="573"/>
      <c r="G538" s="942"/>
      <c r="H538" s="602"/>
      <c r="I538" s="574"/>
      <c r="J538" s="574"/>
      <c r="K538" s="955"/>
      <c r="L538" s="1217" t="s">
        <v>1028</v>
      </c>
      <c r="M538" s="910"/>
      <c r="N538" s="910" t="s">
        <v>1285</v>
      </c>
      <c r="O538" s="911">
        <f>'사. 임직원보수 일람표'!L91</f>
        <v>14610</v>
      </c>
      <c r="P538" s="913" t="s">
        <v>1012</v>
      </c>
      <c r="Q538" s="923">
        <v>0</v>
      </c>
      <c r="R538" s="913" t="s">
        <v>1082</v>
      </c>
      <c r="S538" s="1167">
        <f t="shared" si="31"/>
        <v>15</v>
      </c>
      <c r="T538" s="916" t="s">
        <v>1050</v>
      </c>
      <c r="U538" s="917">
        <f t="shared" si="30"/>
        <v>0</v>
      </c>
      <c r="Y538" s="544"/>
      <c r="Z538" s="544"/>
      <c r="AA538" s="544"/>
      <c r="AE538" s="1054"/>
    </row>
    <row r="539" spans="1:31" ht="21.75" hidden="1" customHeight="1" x14ac:dyDescent="0.15">
      <c r="A539" s="569"/>
      <c r="B539" s="570"/>
      <c r="C539" s="570"/>
      <c r="D539" s="571"/>
      <c r="E539" s="572"/>
      <c r="F539" s="573"/>
      <c r="G539" s="942"/>
      <c r="H539" s="602"/>
      <c r="I539" s="574"/>
      <c r="J539" s="574"/>
      <c r="K539" s="955"/>
      <c r="L539" s="1217" t="s">
        <v>1028</v>
      </c>
      <c r="M539" s="910"/>
      <c r="N539" s="910" t="s">
        <v>1283</v>
      </c>
      <c r="O539" s="911">
        <f>'사. 임직원보수 일람표'!L92</f>
        <v>15060</v>
      </c>
      <c r="P539" s="913" t="s">
        <v>1012</v>
      </c>
      <c r="Q539" s="923">
        <v>8</v>
      </c>
      <c r="R539" s="913" t="s">
        <v>1012</v>
      </c>
      <c r="S539" s="1167">
        <f t="shared" si="31"/>
        <v>15</v>
      </c>
      <c r="T539" s="916" t="s">
        <v>1016</v>
      </c>
      <c r="U539" s="917">
        <f t="shared" si="30"/>
        <v>1807200</v>
      </c>
      <c r="Y539" s="544"/>
      <c r="Z539" s="544"/>
      <c r="AA539" s="544"/>
      <c r="AE539" s="1054"/>
    </row>
    <row r="540" spans="1:31" ht="21.75" hidden="1" customHeight="1" x14ac:dyDescent="0.15">
      <c r="A540" s="569"/>
      <c r="B540" s="570"/>
      <c r="C540" s="570"/>
      <c r="D540" s="571"/>
      <c r="E540" s="572"/>
      <c r="F540" s="573"/>
      <c r="G540" s="942"/>
      <c r="H540" s="602"/>
      <c r="I540" s="574"/>
      <c r="J540" s="574"/>
      <c r="K540" s="955"/>
      <c r="L540" s="1217" t="s">
        <v>1085</v>
      </c>
      <c r="M540" s="910"/>
      <c r="N540" s="910" t="s">
        <v>1091</v>
      </c>
      <c r="O540" s="911">
        <f>'사. 임직원보수 일람표'!L93</f>
        <v>18130</v>
      </c>
      <c r="P540" s="913" t="s">
        <v>724</v>
      </c>
      <c r="Q540" s="923">
        <v>0</v>
      </c>
      <c r="R540" s="913" t="s">
        <v>1012</v>
      </c>
      <c r="S540" s="1167">
        <f t="shared" si="31"/>
        <v>15</v>
      </c>
      <c r="T540" s="916" t="s">
        <v>1016</v>
      </c>
      <c r="U540" s="917">
        <f t="shared" si="30"/>
        <v>0</v>
      </c>
      <c r="Y540" s="544"/>
      <c r="Z540" s="544"/>
      <c r="AA540" s="544"/>
      <c r="AE540" s="1054"/>
    </row>
    <row r="541" spans="1:31" ht="21.75" hidden="1" customHeight="1" x14ac:dyDescent="0.15">
      <c r="A541" s="569"/>
      <c r="B541" s="570"/>
      <c r="C541" s="570"/>
      <c r="D541" s="571"/>
      <c r="E541" s="572"/>
      <c r="F541" s="573"/>
      <c r="G541" s="942"/>
      <c r="H541" s="602"/>
      <c r="I541" s="574"/>
      <c r="J541" s="574"/>
      <c r="K541" s="955"/>
      <c r="L541" s="1217" t="s">
        <v>1085</v>
      </c>
      <c r="M541" s="910"/>
      <c r="N541" s="910" t="s">
        <v>1091</v>
      </c>
      <c r="O541" s="911">
        <f>'사. 임직원보수 일람표'!L94</f>
        <v>18440</v>
      </c>
      <c r="P541" s="913"/>
      <c r="Q541" s="923">
        <v>0</v>
      </c>
      <c r="R541" s="913"/>
      <c r="S541" s="1167">
        <f t="shared" si="31"/>
        <v>15</v>
      </c>
      <c r="T541" s="916"/>
      <c r="U541" s="917">
        <f t="shared" si="30"/>
        <v>0</v>
      </c>
      <c r="Y541" s="544"/>
      <c r="Z541" s="544"/>
      <c r="AA541" s="544"/>
      <c r="AE541" s="1054"/>
    </row>
    <row r="542" spans="1:31" ht="21.75" hidden="1" customHeight="1" x14ac:dyDescent="0.15">
      <c r="A542" s="569"/>
      <c r="B542" s="570"/>
      <c r="C542" s="570"/>
      <c r="D542" s="571"/>
      <c r="E542" s="572"/>
      <c r="F542" s="573"/>
      <c r="G542" s="942"/>
      <c r="H542" s="602"/>
      <c r="I542" s="574"/>
      <c r="J542" s="574"/>
      <c r="K542" s="955"/>
      <c r="L542" s="1217" t="s">
        <v>708</v>
      </c>
      <c r="M542" s="910"/>
      <c r="N542" s="910" t="s">
        <v>1123</v>
      </c>
      <c r="O542" s="911">
        <f>'사. 임직원보수 일람표'!L95</f>
        <v>14140</v>
      </c>
      <c r="P542" s="913" t="s">
        <v>1012</v>
      </c>
      <c r="Q542" s="923">
        <v>0</v>
      </c>
      <c r="R542" s="913" t="s">
        <v>1012</v>
      </c>
      <c r="S542" s="1167">
        <f t="shared" si="31"/>
        <v>15</v>
      </c>
      <c r="T542" s="916" t="s">
        <v>1057</v>
      </c>
      <c r="U542" s="917">
        <f t="shared" si="30"/>
        <v>0</v>
      </c>
      <c r="Y542" s="544"/>
      <c r="Z542" s="544"/>
      <c r="AA542" s="544"/>
      <c r="AE542" s="1054"/>
    </row>
    <row r="543" spans="1:31" ht="21.75" hidden="1" customHeight="1" x14ac:dyDescent="0.15">
      <c r="A543" s="569"/>
      <c r="B543" s="570"/>
      <c r="C543" s="570"/>
      <c r="D543" s="571"/>
      <c r="E543" s="572"/>
      <c r="F543" s="573"/>
      <c r="G543" s="942"/>
      <c r="H543" s="602"/>
      <c r="I543" s="574"/>
      <c r="J543" s="574"/>
      <c r="K543" s="955"/>
      <c r="L543" s="1217" t="s">
        <v>708</v>
      </c>
      <c r="M543" s="910"/>
      <c r="N543" s="910" t="s">
        <v>1114</v>
      </c>
      <c r="O543" s="911">
        <f>'사. 임직원보수 일람표'!L96</f>
        <v>14460</v>
      </c>
      <c r="P543" s="913" t="s">
        <v>1012</v>
      </c>
      <c r="Q543" s="923">
        <v>8</v>
      </c>
      <c r="R543" s="913" t="s">
        <v>1012</v>
      </c>
      <c r="S543" s="1167">
        <f t="shared" si="31"/>
        <v>15</v>
      </c>
      <c r="T543" s="916" t="s">
        <v>1057</v>
      </c>
      <c r="U543" s="917">
        <f t="shared" ref="U543:U547" si="32">O543*Q543*S543</f>
        <v>1735200</v>
      </c>
      <c r="Y543" s="544"/>
      <c r="Z543" s="544"/>
      <c r="AA543" s="544"/>
      <c r="AE543" s="1054"/>
    </row>
    <row r="544" spans="1:31" ht="21.75" hidden="1" customHeight="1" x14ac:dyDescent="0.15">
      <c r="A544" s="569"/>
      <c r="B544" s="570"/>
      <c r="C544" s="570"/>
      <c r="D544" s="571"/>
      <c r="E544" s="572"/>
      <c r="F544" s="573"/>
      <c r="G544" s="942"/>
      <c r="H544" s="602"/>
      <c r="I544" s="574"/>
      <c r="J544" s="574"/>
      <c r="K544" s="955"/>
      <c r="L544" s="1217" t="s">
        <v>708</v>
      </c>
      <c r="M544" s="910"/>
      <c r="N544" s="910" t="s">
        <v>709</v>
      </c>
      <c r="O544" s="911">
        <f>'사. 임직원보수 일람표'!L97</f>
        <v>16140</v>
      </c>
      <c r="P544" s="913" t="s">
        <v>1012</v>
      </c>
      <c r="Q544" s="923">
        <v>0</v>
      </c>
      <c r="R544" s="913" t="s">
        <v>1012</v>
      </c>
      <c r="S544" s="1167">
        <f t="shared" si="31"/>
        <v>15</v>
      </c>
      <c r="T544" s="916" t="s">
        <v>1057</v>
      </c>
      <c r="U544" s="917">
        <f t="shared" si="32"/>
        <v>0</v>
      </c>
      <c r="Y544" s="544"/>
      <c r="Z544" s="544"/>
      <c r="AA544" s="544"/>
      <c r="AE544" s="1054"/>
    </row>
    <row r="545" spans="1:31" ht="21.75" hidden="1" customHeight="1" x14ac:dyDescent="0.15">
      <c r="A545" s="569"/>
      <c r="B545" s="570"/>
      <c r="C545" s="570"/>
      <c r="D545" s="571"/>
      <c r="E545" s="572"/>
      <c r="F545" s="573"/>
      <c r="G545" s="942"/>
      <c r="H545" s="602"/>
      <c r="I545" s="574"/>
      <c r="J545" s="574"/>
      <c r="K545" s="955"/>
      <c r="L545" s="1217" t="s">
        <v>708</v>
      </c>
      <c r="M545" s="910"/>
      <c r="N545" s="910" t="s">
        <v>709</v>
      </c>
      <c r="O545" s="911">
        <f>'사. 임직원보수 일람표'!L98</f>
        <v>16590</v>
      </c>
      <c r="P545" s="913" t="s">
        <v>1012</v>
      </c>
      <c r="Q545" s="923">
        <v>8</v>
      </c>
      <c r="R545" s="913" t="s">
        <v>1012</v>
      </c>
      <c r="S545" s="1167">
        <f t="shared" si="31"/>
        <v>15</v>
      </c>
      <c r="T545" s="916" t="s">
        <v>1057</v>
      </c>
      <c r="U545" s="917">
        <f t="shared" si="32"/>
        <v>1990800</v>
      </c>
      <c r="Y545" s="544"/>
      <c r="Z545" s="544"/>
      <c r="AA545" s="544"/>
      <c r="AE545" s="1054"/>
    </row>
    <row r="546" spans="1:31" ht="21.75" hidden="1" customHeight="1" x14ac:dyDescent="0.15">
      <c r="A546" s="569"/>
      <c r="B546" s="570"/>
      <c r="C546" s="570"/>
      <c r="D546" s="571"/>
      <c r="E546" s="572"/>
      <c r="F546" s="573"/>
      <c r="G546" s="942"/>
      <c r="H546" s="602"/>
      <c r="I546" s="574"/>
      <c r="J546" s="574"/>
      <c r="K546" s="955"/>
      <c r="L546" s="1217" t="s">
        <v>708</v>
      </c>
      <c r="M546" s="910"/>
      <c r="N546" s="910" t="s">
        <v>1092</v>
      </c>
      <c r="O546" s="911">
        <f>'사. 임직원보수 일람표'!L99</f>
        <v>13920</v>
      </c>
      <c r="P546" s="913" t="s">
        <v>1012</v>
      </c>
      <c r="Q546" s="923">
        <v>0</v>
      </c>
      <c r="R546" s="913" t="s">
        <v>1012</v>
      </c>
      <c r="S546" s="1167">
        <f t="shared" si="31"/>
        <v>15</v>
      </c>
      <c r="T546" s="916" t="s">
        <v>1057</v>
      </c>
      <c r="U546" s="917">
        <f t="shared" si="32"/>
        <v>0</v>
      </c>
      <c r="Y546" s="544"/>
      <c r="Z546" s="544"/>
      <c r="AA546" s="544"/>
      <c r="AE546" s="1054"/>
    </row>
    <row r="547" spans="1:31" ht="21.75" hidden="1" customHeight="1" x14ac:dyDescent="0.15">
      <c r="A547" s="569"/>
      <c r="B547" s="570"/>
      <c r="C547" s="570"/>
      <c r="D547" s="571"/>
      <c r="E547" s="572"/>
      <c r="F547" s="573"/>
      <c r="G547" s="942"/>
      <c r="H547" s="602"/>
      <c r="I547" s="574"/>
      <c r="J547" s="574"/>
      <c r="K547" s="955"/>
      <c r="L547" s="1218" t="s">
        <v>708</v>
      </c>
      <c r="M547" s="1168"/>
      <c r="N547" s="1168" t="s">
        <v>1093</v>
      </c>
      <c r="O547" s="1169">
        <f>'사. 임직원보수 일람표'!L100</f>
        <v>14140</v>
      </c>
      <c r="P547" s="1020" t="s">
        <v>1012</v>
      </c>
      <c r="Q547" s="1170">
        <v>8</v>
      </c>
      <c r="R547" s="1020" t="s">
        <v>1012</v>
      </c>
      <c r="S547" s="1171">
        <f t="shared" si="31"/>
        <v>15</v>
      </c>
      <c r="T547" s="1022" t="s">
        <v>1057</v>
      </c>
      <c r="U547" s="1172">
        <f t="shared" si="32"/>
        <v>1696800</v>
      </c>
      <c r="V547" s="544">
        <f>SUM(U452:U547)</f>
        <v>54170400</v>
      </c>
      <c r="W547" s="544">
        <f>V547-'사. 임직원보수 일람표'!O103</f>
        <v>0</v>
      </c>
      <c r="Y547" s="544"/>
      <c r="Z547" s="544"/>
      <c r="AA547" s="544"/>
      <c r="AE547" s="1054"/>
    </row>
    <row r="548" spans="1:31" ht="21.75" hidden="1" customHeight="1" x14ac:dyDescent="0.15">
      <c r="A548" s="569"/>
      <c r="B548" s="570"/>
      <c r="C548" s="570"/>
      <c r="D548" s="571"/>
      <c r="E548" s="572"/>
      <c r="F548" s="573"/>
      <c r="G548" s="942"/>
      <c r="H548" s="602"/>
      <c r="I548" s="574"/>
      <c r="J548" s="574"/>
      <c r="K548" s="955"/>
      <c r="L548" s="1219" t="s">
        <v>680</v>
      </c>
      <c r="M548" s="1174" t="s">
        <v>725</v>
      </c>
      <c r="N548" s="1173" t="s">
        <v>1041</v>
      </c>
      <c r="O548" s="1175">
        <f>'사. 임직원보수 일람표'!L110</f>
        <v>17780</v>
      </c>
      <c r="P548" s="1163" t="s">
        <v>1012</v>
      </c>
      <c r="Q548" s="1176">
        <v>0</v>
      </c>
      <c r="R548" s="1163" t="s">
        <v>1012</v>
      </c>
      <c r="S548" s="1179">
        <f>S547</f>
        <v>15</v>
      </c>
      <c r="T548" s="1165" t="s">
        <v>1016</v>
      </c>
      <c r="U548" s="1177">
        <f t="shared" si="30"/>
        <v>0</v>
      </c>
      <c r="Y548" s="544"/>
      <c r="Z548" s="544"/>
      <c r="AA548" s="544"/>
      <c r="AE548" s="1054"/>
    </row>
    <row r="549" spans="1:31" ht="21.75" hidden="1" customHeight="1" x14ac:dyDescent="0.15">
      <c r="A549" s="569"/>
      <c r="B549" s="570"/>
      <c r="C549" s="570"/>
      <c r="D549" s="571"/>
      <c r="E549" s="572"/>
      <c r="F549" s="573"/>
      <c r="G549" s="942"/>
      <c r="H549" s="602"/>
      <c r="I549" s="574"/>
      <c r="J549" s="574"/>
      <c r="K549" s="955"/>
      <c r="L549" s="1217" t="s">
        <v>680</v>
      </c>
      <c r="M549" s="912" t="s">
        <v>725</v>
      </c>
      <c r="N549" s="910" t="s">
        <v>713</v>
      </c>
      <c r="O549" s="911">
        <f>'사. 임직원보수 일람표'!L111</f>
        <v>18340</v>
      </c>
      <c r="P549" s="913" t="s">
        <v>1012</v>
      </c>
      <c r="Q549" s="923">
        <v>8</v>
      </c>
      <c r="R549" s="913" t="s">
        <v>1012</v>
      </c>
      <c r="S549" s="1167">
        <f>S548</f>
        <v>15</v>
      </c>
      <c r="T549" s="916" t="s">
        <v>1016</v>
      </c>
      <c r="U549" s="917">
        <f t="shared" si="30"/>
        <v>2200800</v>
      </c>
      <c r="Y549" s="544"/>
      <c r="Z549" s="544"/>
      <c r="AA549" s="544"/>
      <c r="AE549" s="1054"/>
    </row>
    <row r="550" spans="1:31" ht="21.75" hidden="1" customHeight="1" x14ac:dyDescent="0.15">
      <c r="A550" s="569"/>
      <c r="B550" s="570"/>
      <c r="C550" s="570"/>
      <c r="D550" s="571"/>
      <c r="E550" s="572"/>
      <c r="F550" s="573"/>
      <c r="G550" s="942"/>
      <c r="H550" s="602"/>
      <c r="I550" s="574"/>
      <c r="J550" s="574"/>
      <c r="K550" s="955"/>
      <c r="L550" s="1217" t="s">
        <v>1040</v>
      </c>
      <c r="M550" s="912" t="s">
        <v>725</v>
      </c>
      <c r="N550" s="910" t="s">
        <v>1086</v>
      </c>
      <c r="O550" s="911">
        <f>'사. 임직원보수 일람표'!L112</f>
        <v>15440</v>
      </c>
      <c r="P550" s="913" t="s">
        <v>1012</v>
      </c>
      <c r="Q550" s="923">
        <v>0</v>
      </c>
      <c r="R550" s="913" t="s">
        <v>1012</v>
      </c>
      <c r="S550" s="1167">
        <f t="shared" ref="S550:S553" si="33">S549</f>
        <v>15</v>
      </c>
      <c r="T550" s="916" t="s">
        <v>1016</v>
      </c>
      <c r="U550" s="917">
        <f t="shared" si="30"/>
        <v>0</v>
      </c>
      <c r="Y550" s="544"/>
      <c r="Z550" s="544"/>
      <c r="AA550" s="544"/>
      <c r="AE550" s="1054"/>
    </row>
    <row r="551" spans="1:31" ht="21.75" hidden="1" customHeight="1" x14ac:dyDescent="0.15">
      <c r="A551" s="569"/>
      <c r="B551" s="570"/>
      <c r="C551" s="570"/>
      <c r="D551" s="571"/>
      <c r="E551" s="572"/>
      <c r="F551" s="573"/>
      <c r="G551" s="942"/>
      <c r="H551" s="602"/>
      <c r="I551" s="574"/>
      <c r="J551" s="574"/>
      <c r="K551" s="955"/>
      <c r="L551" s="1217" t="s">
        <v>1040</v>
      </c>
      <c r="M551" s="912" t="s">
        <v>725</v>
      </c>
      <c r="N551" s="910" t="s">
        <v>1042</v>
      </c>
      <c r="O551" s="911">
        <f>'사. 임직원보수 일람표'!L113</f>
        <v>15670</v>
      </c>
      <c r="P551" s="913" t="s">
        <v>1012</v>
      </c>
      <c r="Q551" s="923">
        <v>8</v>
      </c>
      <c r="R551" s="913" t="s">
        <v>1012</v>
      </c>
      <c r="S551" s="1167">
        <f t="shared" si="33"/>
        <v>15</v>
      </c>
      <c r="T551" s="916" t="s">
        <v>1016</v>
      </c>
      <c r="U551" s="917">
        <f t="shared" si="30"/>
        <v>1880400</v>
      </c>
      <c r="Y551" s="544"/>
      <c r="Z551" s="544"/>
      <c r="AA551" s="544"/>
      <c r="AE551" s="1054"/>
    </row>
    <row r="552" spans="1:31" ht="21.75" hidden="1" customHeight="1" x14ac:dyDescent="0.15">
      <c r="A552" s="569"/>
      <c r="B552" s="570"/>
      <c r="C552" s="570"/>
      <c r="D552" s="571"/>
      <c r="E552" s="572"/>
      <c r="F552" s="573"/>
      <c r="G552" s="942"/>
      <c r="H552" s="602"/>
      <c r="I552" s="574"/>
      <c r="J552" s="574"/>
      <c r="K552" s="955"/>
      <c r="L552" s="1217" t="s">
        <v>1043</v>
      </c>
      <c r="M552" s="912" t="s">
        <v>725</v>
      </c>
      <c r="N552" s="910" t="s">
        <v>1275</v>
      </c>
      <c r="O552" s="911">
        <f>'사. 임직원보수 일람표'!L114</f>
        <v>13810</v>
      </c>
      <c r="P552" s="913" t="s">
        <v>1012</v>
      </c>
      <c r="Q552" s="923">
        <v>0</v>
      </c>
      <c r="R552" s="913" t="s">
        <v>1082</v>
      </c>
      <c r="S552" s="1167">
        <f t="shared" si="33"/>
        <v>15</v>
      </c>
      <c r="T552" s="916" t="s">
        <v>1057</v>
      </c>
      <c r="U552" s="917">
        <f t="shared" si="30"/>
        <v>0</v>
      </c>
      <c r="Y552" s="544"/>
      <c r="Z552" s="544"/>
      <c r="AA552" s="544"/>
      <c r="AE552" s="1054"/>
    </row>
    <row r="553" spans="1:31" ht="21.75" hidden="1" customHeight="1" x14ac:dyDescent="0.15">
      <c r="A553" s="569"/>
      <c r="B553" s="570"/>
      <c r="C553" s="570"/>
      <c r="D553" s="571"/>
      <c r="E553" s="572"/>
      <c r="F553" s="573"/>
      <c r="G553" s="942"/>
      <c r="H553" s="602"/>
      <c r="I553" s="574"/>
      <c r="J553" s="574"/>
      <c r="K553" s="955"/>
      <c r="L553" s="1218" t="s">
        <v>1043</v>
      </c>
      <c r="M553" s="1178" t="s">
        <v>725</v>
      </c>
      <c r="N553" s="1168" t="s">
        <v>1120</v>
      </c>
      <c r="O553" s="1169">
        <f>'사. 임직원보수 일람표'!L115</f>
        <v>13930</v>
      </c>
      <c r="P553" s="1020" t="s">
        <v>1011</v>
      </c>
      <c r="Q553" s="1170">
        <v>0</v>
      </c>
      <c r="R553" s="1020" t="s">
        <v>1011</v>
      </c>
      <c r="S553" s="1171">
        <f t="shared" si="33"/>
        <v>15</v>
      </c>
      <c r="T553" s="1022" t="s">
        <v>1050</v>
      </c>
      <c r="U553" s="1172">
        <f t="shared" si="30"/>
        <v>0</v>
      </c>
      <c r="V553" s="544">
        <f>SUM(U548:U553)</f>
        <v>4081200</v>
      </c>
      <c r="W553" s="544">
        <f>V553-'사. 임직원보수 일람표'!O116</f>
        <v>0</v>
      </c>
      <c r="Y553" s="544"/>
      <c r="Z553" s="544"/>
      <c r="AA553" s="544"/>
      <c r="AE553" s="1054"/>
    </row>
    <row r="554" spans="1:31" ht="21.75" hidden="1" customHeight="1" x14ac:dyDescent="0.15">
      <c r="A554" s="569"/>
      <c r="B554" s="570"/>
      <c r="C554" s="570"/>
      <c r="D554" s="571"/>
      <c r="E554" s="572"/>
      <c r="F554" s="573"/>
      <c r="G554" s="942"/>
      <c r="H554" s="602"/>
      <c r="I554" s="574"/>
      <c r="J554" s="574"/>
      <c r="K554" s="955"/>
      <c r="L554" s="1219" t="s">
        <v>1071</v>
      </c>
      <c r="M554" s="1174" t="s">
        <v>726</v>
      </c>
      <c r="N554" s="1173" t="s">
        <v>1094</v>
      </c>
      <c r="O554" s="1175">
        <f>'사. 임직원보수 일람표'!L123</f>
        <v>14610</v>
      </c>
      <c r="P554" s="1163" t="s">
        <v>1011</v>
      </c>
      <c r="Q554" s="1176">
        <v>8</v>
      </c>
      <c r="R554" s="1163" t="s">
        <v>1011</v>
      </c>
      <c r="S554" s="1179">
        <f>S553</f>
        <v>15</v>
      </c>
      <c r="T554" s="1165" t="s">
        <v>1050</v>
      </c>
      <c r="U554" s="1177">
        <f t="shared" si="30"/>
        <v>1753200</v>
      </c>
      <c r="Y554" s="544"/>
      <c r="Z554" s="544"/>
      <c r="AA554" s="544"/>
      <c r="AE554" s="1054"/>
    </row>
    <row r="555" spans="1:31" ht="21.75" hidden="1" customHeight="1" x14ac:dyDescent="0.15">
      <c r="A555" s="569"/>
      <c r="B555" s="570"/>
      <c r="C555" s="570"/>
      <c r="D555" s="571"/>
      <c r="E555" s="572"/>
      <c r="F555" s="573"/>
      <c r="G555" s="942"/>
      <c r="H555" s="602"/>
      <c r="I555" s="574"/>
      <c r="J555" s="574"/>
      <c r="K555" s="955"/>
      <c r="L555" s="1217" t="s">
        <v>1071</v>
      </c>
      <c r="M555" s="912" t="s">
        <v>726</v>
      </c>
      <c r="N555" s="910" t="s">
        <v>1094</v>
      </c>
      <c r="O555" s="911">
        <f>'사. 임직원보수 일람표'!L124</f>
        <v>0</v>
      </c>
      <c r="P555" s="913" t="s">
        <v>1011</v>
      </c>
      <c r="Q555" s="923">
        <v>0</v>
      </c>
      <c r="R555" s="913" t="s">
        <v>1011</v>
      </c>
      <c r="S555" s="1179">
        <f>S554</f>
        <v>15</v>
      </c>
      <c r="T555" s="916" t="s">
        <v>1016</v>
      </c>
      <c r="U555" s="917">
        <f t="shared" si="30"/>
        <v>0</v>
      </c>
      <c r="Y555" s="544"/>
      <c r="Z555" s="544"/>
      <c r="AA555" s="544"/>
      <c r="AE555" s="1054"/>
    </row>
    <row r="556" spans="1:31" ht="21.75" hidden="1" customHeight="1" x14ac:dyDescent="0.15">
      <c r="A556" s="569"/>
      <c r="B556" s="570"/>
      <c r="C556" s="570"/>
      <c r="D556" s="571"/>
      <c r="E556" s="572"/>
      <c r="F556" s="573"/>
      <c r="G556" s="942"/>
      <c r="H556" s="602"/>
      <c r="I556" s="574"/>
      <c r="J556" s="574"/>
      <c r="K556" s="955"/>
      <c r="L556" s="1217" t="s">
        <v>1071</v>
      </c>
      <c r="M556" s="912" t="s">
        <v>726</v>
      </c>
      <c r="N556" s="910" t="s">
        <v>1044</v>
      </c>
      <c r="O556" s="911">
        <f>'사. 임직원보수 일람표'!L125</f>
        <v>15060</v>
      </c>
      <c r="P556" s="913" t="s">
        <v>1011</v>
      </c>
      <c r="Q556" s="923">
        <v>0</v>
      </c>
      <c r="R556" s="913" t="s">
        <v>1011</v>
      </c>
      <c r="S556" s="1179">
        <f t="shared" ref="S556:S577" si="34">S555</f>
        <v>15</v>
      </c>
      <c r="T556" s="916" t="s">
        <v>1016</v>
      </c>
      <c r="U556" s="917">
        <f t="shared" si="30"/>
        <v>0</v>
      </c>
      <c r="Y556" s="544"/>
      <c r="Z556" s="544"/>
      <c r="AA556" s="544"/>
      <c r="AE556" s="1054"/>
    </row>
    <row r="557" spans="1:31" ht="21.75" hidden="1" customHeight="1" x14ac:dyDescent="0.15">
      <c r="A557" s="569"/>
      <c r="B557" s="570"/>
      <c r="C557" s="570"/>
      <c r="D557" s="571"/>
      <c r="E557" s="572"/>
      <c r="F557" s="573"/>
      <c r="G557" s="942"/>
      <c r="H557" s="602"/>
      <c r="I557" s="574"/>
      <c r="J557" s="574"/>
      <c r="K557" s="955"/>
      <c r="L557" s="1217"/>
      <c r="M557" s="912"/>
      <c r="N557" s="910" t="s">
        <v>1095</v>
      </c>
      <c r="O557" s="911">
        <f>'사. 임직원보수 일람표'!L126</f>
        <v>15530</v>
      </c>
      <c r="P557" s="913" t="s">
        <v>1012</v>
      </c>
      <c r="Q557" s="923">
        <v>8</v>
      </c>
      <c r="R557" s="913" t="s">
        <v>1011</v>
      </c>
      <c r="S557" s="1179">
        <f t="shared" si="34"/>
        <v>15</v>
      </c>
      <c r="T557" s="916" t="s">
        <v>1050</v>
      </c>
      <c r="U557" s="917">
        <f t="shared" si="30"/>
        <v>1863600</v>
      </c>
      <c r="Y557" s="544"/>
      <c r="Z557" s="544"/>
      <c r="AA557" s="544"/>
      <c r="AE557" s="1054"/>
    </row>
    <row r="558" spans="1:31" ht="21.75" hidden="1" customHeight="1" x14ac:dyDescent="0.15">
      <c r="A558" s="569"/>
      <c r="B558" s="570"/>
      <c r="C558" s="570"/>
      <c r="D558" s="571"/>
      <c r="E558" s="572"/>
      <c r="F558" s="573"/>
      <c r="G558" s="942"/>
      <c r="H558" s="602"/>
      <c r="I558" s="574"/>
      <c r="J558" s="574"/>
      <c r="K558" s="955"/>
      <c r="L558" s="1217" t="s">
        <v>1028</v>
      </c>
      <c r="M558" s="912" t="s">
        <v>726</v>
      </c>
      <c r="N558" s="910" t="s">
        <v>1096</v>
      </c>
      <c r="O558" s="911">
        <f>'사. 임직원보수 일람표'!L127</f>
        <v>14610</v>
      </c>
      <c r="P558" s="913" t="s">
        <v>1011</v>
      </c>
      <c r="Q558" s="923">
        <v>0</v>
      </c>
      <c r="R558" s="913" t="s">
        <v>1012</v>
      </c>
      <c r="S558" s="1179">
        <f t="shared" si="34"/>
        <v>15</v>
      </c>
      <c r="T558" s="916" t="s">
        <v>1050</v>
      </c>
      <c r="U558" s="917">
        <f t="shared" si="30"/>
        <v>0</v>
      </c>
      <c r="Y558" s="544"/>
      <c r="Z558" s="544"/>
      <c r="AA558" s="544"/>
      <c r="AE558" s="1054"/>
    </row>
    <row r="559" spans="1:31" ht="21.75" hidden="1" customHeight="1" x14ac:dyDescent="0.15">
      <c r="A559" s="569"/>
      <c r="B559" s="570"/>
      <c r="C559" s="570"/>
      <c r="D559" s="571"/>
      <c r="E559" s="572"/>
      <c r="F559" s="573"/>
      <c r="G559" s="942"/>
      <c r="H559" s="602"/>
      <c r="I559" s="574"/>
      <c r="J559" s="574"/>
      <c r="K559" s="955"/>
      <c r="L559" s="1217" t="s">
        <v>1071</v>
      </c>
      <c r="M559" s="912" t="s">
        <v>726</v>
      </c>
      <c r="N559" s="910" t="s">
        <v>1097</v>
      </c>
      <c r="O559" s="911">
        <f>'사. 임직원보수 일람표'!L128</f>
        <v>0</v>
      </c>
      <c r="P559" s="913" t="s">
        <v>1011</v>
      </c>
      <c r="Q559" s="923">
        <v>8</v>
      </c>
      <c r="R559" s="913" t="s">
        <v>1012</v>
      </c>
      <c r="S559" s="1179">
        <f t="shared" si="34"/>
        <v>15</v>
      </c>
      <c r="T559" s="916" t="s">
        <v>1050</v>
      </c>
      <c r="U559" s="917">
        <f t="shared" si="30"/>
        <v>0</v>
      </c>
      <c r="Y559" s="544"/>
      <c r="Z559" s="544"/>
      <c r="AA559" s="544"/>
      <c r="AE559" s="1054"/>
    </row>
    <row r="560" spans="1:31" ht="21.75" hidden="1" customHeight="1" x14ac:dyDescent="0.15">
      <c r="A560" s="569"/>
      <c r="B560" s="570"/>
      <c r="C560" s="570"/>
      <c r="D560" s="571"/>
      <c r="E560" s="572"/>
      <c r="F560" s="573"/>
      <c r="G560" s="942"/>
      <c r="H560" s="602"/>
      <c r="I560" s="574"/>
      <c r="J560" s="574"/>
      <c r="K560" s="955"/>
      <c r="L560" s="1217" t="s">
        <v>1071</v>
      </c>
      <c r="M560" s="912" t="s">
        <v>726</v>
      </c>
      <c r="N560" s="910" t="s">
        <v>1045</v>
      </c>
      <c r="O560" s="911">
        <f>'사. 임직원보수 일람표'!L129</f>
        <v>14610</v>
      </c>
      <c r="P560" s="913" t="s">
        <v>1011</v>
      </c>
      <c r="Q560" s="923">
        <v>8</v>
      </c>
      <c r="R560" s="913" t="s">
        <v>1012</v>
      </c>
      <c r="S560" s="1179">
        <f t="shared" si="34"/>
        <v>15</v>
      </c>
      <c r="T560" s="916" t="s">
        <v>1050</v>
      </c>
      <c r="U560" s="917">
        <f t="shared" si="30"/>
        <v>1753200</v>
      </c>
      <c r="Y560" s="544"/>
      <c r="Z560" s="544"/>
      <c r="AA560" s="544"/>
      <c r="AE560" s="1054"/>
    </row>
    <row r="561" spans="1:31" ht="21.75" hidden="1" customHeight="1" x14ac:dyDescent="0.15">
      <c r="A561" s="569"/>
      <c r="B561" s="570"/>
      <c r="C561" s="570"/>
      <c r="D561" s="571"/>
      <c r="E561" s="572"/>
      <c r="F561" s="573"/>
      <c r="G561" s="942"/>
      <c r="H561" s="602"/>
      <c r="I561" s="574"/>
      <c r="J561" s="574"/>
      <c r="K561" s="955"/>
      <c r="L561" s="1217"/>
      <c r="M561" s="912"/>
      <c r="N561" s="910" t="s">
        <v>1098</v>
      </c>
      <c r="O561" s="911">
        <f>'사. 임직원보수 일람표'!L130</f>
        <v>0</v>
      </c>
      <c r="P561" s="913"/>
      <c r="Q561" s="923">
        <v>8</v>
      </c>
      <c r="R561" s="913"/>
      <c r="S561" s="1179">
        <f t="shared" si="34"/>
        <v>15</v>
      </c>
      <c r="T561" s="916"/>
      <c r="U561" s="917">
        <f t="shared" si="30"/>
        <v>0</v>
      </c>
      <c r="Y561" s="544"/>
      <c r="Z561" s="544"/>
      <c r="AA561" s="544"/>
      <c r="AE561" s="1054"/>
    </row>
    <row r="562" spans="1:31" ht="21.75" hidden="1" customHeight="1" x14ac:dyDescent="0.15">
      <c r="A562" s="569"/>
      <c r="B562" s="570"/>
      <c r="C562" s="570"/>
      <c r="D562" s="571"/>
      <c r="E562" s="572"/>
      <c r="F562" s="573"/>
      <c r="G562" s="942"/>
      <c r="H562" s="602"/>
      <c r="I562" s="574"/>
      <c r="J562" s="574"/>
      <c r="K562" s="955"/>
      <c r="L562" s="1217" t="s">
        <v>1028</v>
      </c>
      <c r="M562" s="912" t="s">
        <v>726</v>
      </c>
      <c r="N562" s="910" t="s">
        <v>1046</v>
      </c>
      <c r="O562" s="911">
        <f>'사. 임직원보수 일람표'!L131</f>
        <v>15060</v>
      </c>
      <c r="P562" s="913" t="s">
        <v>1011</v>
      </c>
      <c r="Q562" s="923">
        <v>0</v>
      </c>
      <c r="R562" s="913" t="s">
        <v>1011</v>
      </c>
      <c r="S562" s="1179">
        <f t="shared" si="34"/>
        <v>15</v>
      </c>
      <c r="T562" s="916" t="s">
        <v>1016</v>
      </c>
      <c r="U562" s="917">
        <f t="shared" si="30"/>
        <v>0</v>
      </c>
      <c r="Y562" s="544"/>
      <c r="Z562" s="544"/>
      <c r="AA562" s="544"/>
      <c r="AE562" s="1054"/>
    </row>
    <row r="563" spans="1:31" ht="21.75" hidden="1" customHeight="1" x14ac:dyDescent="0.15">
      <c r="A563" s="569"/>
      <c r="B563" s="570"/>
      <c r="C563" s="570"/>
      <c r="D563" s="571"/>
      <c r="E563" s="572"/>
      <c r="F563" s="573"/>
      <c r="G563" s="942"/>
      <c r="H563" s="602"/>
      <c r="I563" s="574"/>
      <c r="J563" s="574"/>
      <c r="K563" s="955"/>
      <c r="L563" s="1217"/>
      <c r="M563" s="912"/>
      <c r="N563" s="910" t="s">
        <v>1099</v>
      </c>
      <c r="O563" s="911">
        <f>'사. 임직원보수 일람표'!L132</f>
        <v>15530</v>
      </c>
      <c r="P563" s="913"/>
      <c r="Q563" s="923">
        <v>8</v>
      </c>
      <c r="R563" s="913"/>
      <c r="S563" s="1179">
        <f t="shared" si="34"/>
        <v>15</v>
      </c>
      <c r="T563" s="916"/>
      <c r="U563" s="917">
        <f t="shared" si="30"/>
        <v>1863600</v>
      </c>
      <c r="Y563" s="544"/>
      <c r="Z563" s="544"/>
      <c r="AA563" s="544"/>
      <c r="AE563" s="1054"/>
    </row>
    <row r="564" spans="1:31" ht="21.75" hidden="1" customHeight="1" x14ac:dyDescent="0.15">
      <c r="A564" s="569"/>
      <c r="B564" s="570"/>
      <c r="C564" s="570"/>
      <c r="D564" s="571"/>
      <c r="E564" s="572"/>
      <c r="F564" s="573"/>
      <c r="G564" s="942"/>
      <c r="H564" s="602"/>
      <c r="I564" s="574"/>
      <c r="J564" s="574"/>
      <c r="K564" s="955"/>
      <c r="L564" s="1217" t="s">
        <v>1071</v>
      </c>
      <c r="M564" s="912" t="s">
        <v>726</v>
      </c>
      <c r="N564" s="910" t="s">
        <v>1100</v>
      </c>
      <c r="O564" s="911">
        <f>'사. 임직원보수 일람표'!L133</f>
        <v>15060</v>
      </c>
      <c r="P564" s="913" t="s">
        <v>1012</v>
      </c>
      <c r="Q564" s="923">
        <v>0</v>
      </c>
      <c r="R564" s="913" t="s">
        <v>1011</v>
      </c>
      <c r="S564" s="1179">
        <f t="shared" si="34"/>
        <v>15</v>
      </c>
      <c r="T564" s="916" t="s">
        <v>1050</v>
      </c>
      <c r="U564" s="917">
        <f t="shared" si="30"/>
        <v>0</v>
      </c>
      <c r="Y564" s="544"/>
      <c r="Z564" s="544"/>
      <c r="AA564" s="544"/>
      <c r="AE564" s="1054"/>
    </row>
    <row r="565" spans="1:31" ht="21.75" hidden="1" customHeight="1" x14ac:dyDescent="0.15">
      <c r="A565" s="569"/>
      <c r="B565" s="570"/>
      <c r="C565" s="570"/>
      <c r="D565" s="571"/>
      <c r="E565" s="572"/>
      <c r="F565" s="573"/>
      <c r="G565" s="942"/>
      <c r="H565" s="602"/>
      <c r="I565" s="574"/>
      <c r="J565" s="574"/>
      <c r="K565" s="955"/>
      <c r="L565" s="1217" t="s">
        <v>1028</v>
      </c>
      <c r="M565" s="912" t="s">
        <v>726</v>
      </c>
      <c r="N565" s="910" t="s">
        <v>1100</v>
      </c>
      <c r="O565" s="911">
        <f>'사. 임직원보수 일람표'!L134</f>
        <v>15530</v>
      </c>
      <c r="P565" s="913" t="s">
        <v>1012</v>
      </c>
      <c r="Q565" s="923">
        <v>8</v>
      </c>
      <c r="R565" s="913" t="s">
        <v>1012</v>
      </c>
      <c r="S565" s="1179">
        <f t="shared" si="34"/>
        <v>15</v>
      </c>
      <c r="T565" s="916" t="s">
        <v>1050</v>
      </c>
      <c r="U565" s="917">
        <f t="shared" si="30"/>
        <v>1863600</v>
      </c>
      <c r="Y565" s="544"/>
      <c r="Z565" s="544"/>
      <c r="AA565" s="544"/>
      <c r="AE565" s="1054"/>
    </row>
    <row r="566" spans="1:31" ht="21.75" hidden="1" customHeight="1" x14ac:dyDescent="0.15">
      <c r="A566" s="569"/>
      <c r="B566" s="570"/>
      <c r="C566" s="570"/>
      <c r="D566" s="571"/>
      <c r="E566" s="572"/>
      <c r="F566" s="573"/>
      <c r="G566" s="942"/>
      <c r="H566" s="602"/>
      <c r="I566" s="574"/>
      <c r="J566" s="574"/>
      <c r="K566" s="955"/>
      <c r="L566" s="1217" t="s">
        <v>1028</v>
      </c>
      <c r="M566" s="912" t="s">
        <v>726</v>
      </c>
      <c r="N566" s="910" t="s">
        <v>721</v>
      </c>
      <c r="O566" s="911">
        <f>'사. 임직원보수 일람표'!L135</f>
        <v>14200</v>
      </c>
      <c r="P566" s="913" t="s">
        <v>1012</v>
      </c>
      <c r="Q566" s="923">
        <v>0</v>
      </c>
      <c r="R566" s="913" t="s">
        <v>1012</v>
      </c>
      <c r="S566" s="1179">
        <f t="shared" si="34"/>
        <v>15</v>
      </c>
      <c r="T566" s="916" t="s">
        <v>1016</v>
      </c>
      <c r="U566" s="917">
        <f t="shared" si="30"/>
        <v>0</v>
      </c>
      <c r="Y566" s="544"/>
      <c r="Z566" s="544"/>
      <c r="AA566" s="544"/>
      <c r="AE566" s="1054"/>
    </row>
    <row r="567" spans="1:31" ht="21.75" hidden="1" customHeight="1" x14ac:dyDescent="0.15">
      <c r="A567" s="569"/>
      <c r="B567" s="570"/>
      <c r="C567" s="570"/>
      <c r="D567" s="571"/>
      <c r="E567" s="572"/>
      <c r="F567" s="573"/>
      <c r="G567" s="942"/>
      <c r="H567" s="602"/>
      <c r="I567" s="574"/>
      <c r="J567" s="574"/>
      <c r="K567" s="955"/>
      <c r="L567" s="1217" t="s">
        <v>1028</v>
      </c>
      <c r="M567" s="912" t="s">
        <v>726</v>
      </c>
      <c r="N567" s="910" t="s">
        <v>721</v>
      </c>
      <c r="O567" s="911">
        <f>'사. 임직원보수 일람표'!L136</f>
        <v>14610</v>
      </c>
      <c r="P567" s="913" t="s">
        <v>1011</v>
      </c>
      <c r="Q567" s="923">
        <v>8</v>
      </c>
      <c r="R567" s="913" t="s">
        <v>1012</v>
      </c>
      <c r="S567" s="1179">
        <f t="shared" si="34"/>
        <v>15</v>
      </c>
      <c r="T567" s="916" t="s">
        <v>1016</v>
      </c>
      <c r="U567" s="917">
        <f t="shared" si="30"/>
        <v>1753200</v>
      </c>
      <c r="Y567" s="544"/>
      <c r="Z567" s="544"/>
      <c r="AA567" s="544"/>
      <c r="AE567" s="1054"/>
    </row>
    <row r="568" spans="1:31" ht="21.75" hidden="1" customHeight="1" x14ac:dyDescent="0.15">
      <c r="A568" s="569"/>
      <c r="B568" s="570"/>
      <c r="C568" s="570"/>
      <c r="D568" s="571"/>
      <c r="E568" s="572"/>
      <c r="F568" s="573"/>
      <c r="G568" s="942"/>
      <c r="H568" s="602"/>
      <c r="I568" s="574"/>
      <c r="J568" s="574"/>
      <c r="K568" s="955"/>
      <c r="L568" s="1217" t="s">
        <v>1028</v>
      </c>
      <c r="M568" s="912" t="s">
        <v>726</v>
      </c>
      <c r="N568" s="910" t="s">
        <v>1101</v>
      </c>
      <c r="O568" s="911">
        <f>'사. 임직원보수 일람표'!L137</f>
        <v>15060</v>
      </c>
      <c r="P568" s="913" t="s">
        <v>1011</v>
      </c>
      <c r="Q568" s="923">
        <v>0</v>
      </c>
      <c r="R568" s="913" t="s">
        <v>1012</v>
      </c>
      <c r="S568" s="1179">
        <f t="shared" si="34"/>
        <v>15</v>
      </c>
      <c r="T568" s="916" t="s">
        <v>1016</v>
      </c>
      <c r="U568" s="917">
        <f t="shared" si="30"/>
        <v>0</v>
      </c>
      <c r="Y568" s="544"/>
      <c r="Z568" s="544"/>
      <c r="AA568" s="544"/>
      <c r="AE568" s="1054"/>
    </row>
    <row r="569" spans="1:31" ht="21.75" hidden="1" customHeight="1" x14ac:dyDescent="0.15">
      <c r="A569" s="569"/>
      <c r="B569" s="570"/>
      <c r="C569" s="570"/>
      <c r="D569" s="571"/>
      <c r="E569" s="572"/>
      <c r="F569" s="573"/>
      <c r="G569" s="942"/>
      <c r="H569" s="602"/>
      <c r="I569" s="574"/>
      <c r="J569" s="574"/>
      <c r="K569" s="955"/>
      <c r="L569" s="1217" t="s">
        <v>1028</v>
      </c>
      <c r="M569" s="912" t="s">
        <v>726</v>
      </c>
      <c r="N569" s="910" t="s">
        <v>1047</v>
      </c>
      <c r="O569" s="911">
        <f>'사. 임직원보수 일람표'!L138</f>
        <v>15530</v>
      </c>
      <c r="P569" s="913" t="s">
        <v>1012</v>
      </c>
      <c r="Q569" s="923">
        <v>8</v>
      </c>
      <c r="R569" s="913" t="s">
        <v>1012</v>
      </c>
      <c r="S569" s="1179">
        <f t="shared" si="34"/>
        <v>15</v>
      </c>
      <c r="T569" s="916" t="s">
        <v>1016</v>
      </c>
      <c r="U569" s="917">
        <f t="shared" si="30"/>
        <v>1863600</v>
      </c>
      <c r="Y569" s="544"/>
      <c r="Z569" s="544"/>
      <c r="AA569" s="544"/>
      <c r="AE569" s="1054"/>
    </row>
    <row r="570" spans="1:31" ht="21.75" hidden="1" customHeight="1" x14ac:dyDescent="0.15">
      <c r="A570" s="569"/>
      <c r="B570" s="570"/>
      <c r="C570" s="570"/>
      <c r="D570" s="571"/>
      <c r="E570" s="572"/>
      <c r="F570" s="573"/>
      <c r="G570" s="942"/>
      <c r="H570" s="602"/>
      <c r="I570" s="574"/>
      <c r="J570" s="574"/>
      <c r="K570" s="955"/>
      <c r="L570" s="1217" t="s">
        <v>1028</v>
      </c>
      <c r="M570" s="912" t="s">
        <v>726</v>
      </c>
      <c r="N570" s="910" t="s">
        <v>1102</v>
      </c>
      <c r="O570" s="911">
        <f>'사. 임직원보수 일람표'!L139</f>
        <v>15060</v>
      </c>
      <c r="P570" s="913" t="s">
        <v>1012</v>
      </c>
      <c r="Q570" s="923">
        <v>8</v>
      </c>
      <c r="R570" s="913" t="s">
        <v>1011</v>
      </c>
      <c r="S570" s="1179">
        <f t="shared" si="34"/>
        <v>15</v>
      </c>
      <c r="T570" s="916" t="s">
        <v>1050</v>
      </c>
      <c r="U570" s="917">
        <f t="shared" si="30"/>
        <v>1807200</v>
      </c>
      <c r="Y570" s="544"/>
      <c r="Z570" s="544"/>
      <c r="AA570" s="544"/>
      <c r="AE570" s="1054"/>
    </row>
    <row r="571" spans="1:31" ht="21.75" hidden="1" customHeight="1" x14ac:dyDescent="0.15">
      <c r="A571" s="569"/>
      <c r="B571" s="570"/>
      <c r="C571" s="570"/>
      <c r="D571" s="571"/>
      <c r="E571" s="572"/>
      <c r="F571" s="573"/>
      <c r="G571" s="942"/>
      <c r="H571" s="602"/>
      <c r="I571" s="574"/>
      <c r="J571" s="574"/>
      <c r="K571" s="955"/>
      <c r="L571" s="1217" t="s">
        <v>1028</v>
      </c>
      <c r="M571" s="912" t="s">
        <v>726</v>
      </c>
      <c r="N571" s="910" t="s">
        <v>723</v>
      </c>
      <c r="O571" s="911">
        <f>'사. 임직원보수 일람표'!L140</f>
        <v>0</v>
      </c>
      <c r="P571" s="913" t="s">
        <v>1011</v>
      </c>
      <c r="Q571" s="923">
        <v>0</v>
      </c>
      <c r="R571" s="913" t="s">
        <v>1011</v>
      </c>
      <c r="S571" s="1179">
        <f t="shared" si="34"/>
        <v>15</v>
      </c>
      <c r="T571" s="916" t="s">
        <v>1050</v>
      </c>
      <c r="U571" s="917">
        <f t="shared" si="30"/>
        <v>0</v>
      </c>
      <c r="Y571" s="544"/>
      <c r="Z571" s="544"/>
      <c r="AA571" s="544"/>
      <c r="AE571" s="1054"/>
    </row>
    <row r="572" spans="1:31" ht="21.75" hidden="1" customHeight="1" x14ac:dyDescent="0.15">
      <c r="A572" s="569"/>
      <c r="B572" s="570"/>
      <c r="C572" s="570"/>
      <c r="D572" s="571"/>
      <c r="E572" s="572"/>
      <c r="F572" s="573"/>
      <c r="G572" s="942"/>
      <c r="H572" s="602"/>
      <c r="I572" s="574"/>
      <c r="J572" s="574"/>
      <c r="K572" s="955"/>
      <c r="L572" s="1217" t="s">
        <v>1028</v>
      </c>
      <c r="M572" s="912" t="s">
        <v>726</v>
      </c>
      <c r="N572" s="910" t="s">
        <v>1286</v>
      </c>
      <c r="O572" s="911">
        <f>'사. 임직원보수 일람표'!L141</f>
        <v>15060</v>
      </c>
      <c r="P572" s="913" t="s">
        <v>1012</v>
      </c>
      <c r="Q572" s="923">
        <v>8</v>
      </c>
      <c r="R572" s="913" t="s">
        <v>1012</v>
      </c>
      <c r="S572" s="1179">
        <f t="shared" si="34"/>
        <v>15</v>
      </c>
      <c r="T572" s="916" t="s">
        <v>1016</v>
      </c>
      <c r="U572" s="917">
        <f t="shared" ref="U572:U577" si="35">O572*Q572*S572</f>
        <v>1807200</v>
      </c>
      <c r="Y572" s="544"/>
      <c r="Z572" s="544"/>
      <c r="AA572" s="544"/>
      <c r="AE572" s="1054"/>
    </row>
    <row r="573" spans="1:31" ht="21.75" hidden="1" customHeight="1" x14ac:dyDescent="0.15">
      <c r="A573" s="569"/>
      <c r="B573" s="570"/>
      <c r="C573" s="570"/>
      <c r="D573" s="571"/>
      <c r="E573" s="572"/>
      <c r="F573" s="573"/>
      <c r="G573" s="942"/>
      <c r="H573" s="602"/>
      <c r="I573" s="574"/>
      <c r="J573" s="574"/>
      <c r="K573" s="955"/>
      <c r="L573" s="1217" t="s">
        <v>1028</v>
      </c>
      <c r="M573" s="912" t="s">
        <v>726</v>
      </c>
      <c r="N573" s="910" t="s">
        <v>1287</v>
      </c>
      <c r="O573" s="911">
        <f>'사. 임직원보수 일람표'!L142</f>
        <v>0</v>
      </c>
      <c r="P573" s="913" t="s">
        <v>1011</v>
      </c>
      <c r="Q573" s="923">
        <v>8</v>
      </c>
      <c r="R573" s="913" t="s">
        <v>1011</v>
      </c>
      <c r="S573" s="1179">
        <f t="shared" si="34"/>
        <v>15</v>
      </c>
      <c r="T573" s="916" t="s">
        <v>1050</v>
      </c>
      <c r="U573" s="917">
        <f t="shared" si="35"/>
        <v>0</v>
      </c>
      <c r="Y573" s="544"/>
      <c r="Z573" s="544"/>
      <c r="AA573" s="544"/>
      <c r="AE573" s="1054"/>
    </row>
    <row r="574" spans="1:31" ht="21.75" hidden="1" customHeight="1" x14ac:dyDescent="0.15">
      <c r="A574" s="569"/>
      <c r="B574" s="570"/>
      <c r="C574" s="570"/>
      <c r="D574" s="571"/>
      <c r="E574" s="572"/>
      <c r="F574" s="573"/>
      <c r="G574" s="942"/>
      <c r="H574" s="602"/>
      <c r="I574" s="574"/>
      <c r="J574" s="574"/>
      <c r="K574" s="955"/>
      <c r="L574" s="1217" t="s">
        <v>1028</v>
      </c>
      <c r="M574" s="912" t="s">
        <v>726</v>
      </c>
      <c r="N574" s="910" t="s">
        <v>1288</v>
      </c>
      <c r="O574" s="911">
        <f>'사. 임직원보수 일람표'!L143</f>
        <v>14610</v>
      </c>
      <c r="P574" s="913" t="s">
        <v>1011</v>
      </c>
      <c r="Q574" s="923">
        <v>8</v>
      </c>
      <c r="R574" s="913" t="s">
        <v>1011</v>
      </c>
      <c r="S574" s="1179">
        <f t="shared" si="34"/>
        <v>15</v>
      </c>
      <c r="T574" s="916" t="s">
        <v>1050</v>
      </c>
      <c r="U574" s="917">
        <f t="shared" si="35"/>
        <v>1753200</v>
      </c>
      <c r="Y574" s="544"/>
      <c r="Z574" s="544"/>
      <c r="AA574" s="544"/>
      <c r="AE574" s="1054"/>
    </row>
    <row r="575" spans="1:31" ht="21.75" hidden="1" customHeight="1" x14ac:dyDescent="0.15">
      <c r="A575" s="569"/>
      <c r="B575" s="570"/>
      <c r="C575" s="570"/>
      <c r="D575" s="571"/>
      <c r="E575" s="572"/>
      <c r="F575" s="573"/>
      <c r="G575" s="942"/>
      <c r="H575" s="602"/>
      <c r="I575" s="574"/>
      <c r="J575" s="574"/>
      <c r="K575" s="955"/>
      <c r="L575" s="1217" t="s">
        <v>1071</v>
      </c>
      <c r="M575" s="912" t="s">
        <v>726</v>
      </c>
      <c r="N575" s="910" t="s">
        <v>902</v>
      </c>
      <c r="O575" s="911">
        <f>'사. 임직원보수 일람표'!L144</f>
        <v>15060</v>
      </c>
      <c r="P575" s="913" t="s">
        <v>1011</v>
      </c>
      <c r="Q575" s="923">
        <v>0</v>
      </c>
      <c r="R575" s="913" t="s">
        <v>1012</v>
      </c>
      <c r="S575" s="1179">
        <f t="shared" si="34"/>
        <v>15</v>
      </c>
      <c r="T575" s="916" t="s">
        <v>1050</v>
      </c>
      <c r="U575" s="917">
        <f t="shared" si="35"/>
        <v>0</v>
      </c>
      <c r="Y575" s="544"/>
      <c r="Z575" s="544"/>
      <c r="AA575" s="544"/>
      <c r="AE575" s="1054"/>
    </row>
    <row r="576" spans="1:31" ht="21.75" hidden="1" customHeight="1" x14ac:dyDescent="0.15">
      <c r="A576" s="569"/>
      <c r="B576" s="570"/>
      <c r="C576" s="570"/>
      <c r="D576" s="571"/>
      <c r="E576" s="572"/>
      <c r="F576" s="573"/>
      <c r="G576" s="942"/>
      <c r="H576" s="602"/>
      <c r="I576" s="574"/>
      <c r="J576" s="574"/>
      <c r="K576" s="955"/>
      <c r="L576" s="1217" t="s">
        <v>1028</v>
      </c>
      <c r="M576" s="912" t="s">
        <v>726</v>
      </c>
      <c r="N576" s="910" t="s">
        <v>1289</v>
      </c>
      <c r="O576" s="911">
        <f>'사. 임직원보수 일람표'!L145</f>
        <v>14200</v>
      </c>
      <c r="P576" s="913" t="s">
        <v>1012</v>
      </c>
      <c r="Q576" s="923">
        <v>0</v>
      </c>
      <c r="R576" s="913" t="s">
        <v>1011</v>
      </c>
      <c r="S576" s="1179">
        <f t="shared" si="34"/>
        <v>15</v>
      </c>
      <c r="T576" s="916" t="s">
        <v>1050</v>
      </c>
      <c r="U576" s="917">
        <f t="shared" si="35"/>
        <v>0</v>
      </c>
      <c r="Y576" s="544"/>
      <c r="Z576" s="544"/>
      <c r="AA576" s="544"/>
      <c r="AE576" s="1054"/>
    </row>
    <row r="577" spans="1:31" ht="21.75" hidden="1" customHeight="1" x14ac:dyDescent="0.15">
      <c r="A577" s="569"/>
      <c r="B577" s="570"/>
      <c r="C577" s="570"/>
      <c r="D577" s="571"/>
      <c r="E577" s="572"/>
      <c r="F577" s="573"/>
      <c r="G577" s="942"/>
      <c r="H577" s="602"/>
      <c r="I577" s="574"/>
      <c r="J577" s="574"/>
      <c r="K577" s="955"/>
      <c r="L577" s="1217" t="s">
        <v>1071</v>
      </c>
      <c r="M577" s="912" t="s">
        <v>726</v>
      </c>
      <c r="N577" s="910" t="s">
        <v>1199</v>
      </c>
      <c r="O577" s="911">
        <f>'사. 임직원보수 일람표'!L146</f>
        <v>14610</v>
      </c>
      <c r="P577" s="913" t="s">
        <v>1011</v>
      </c>
      <c r="Q577" s="923">
        <v>8</v>
      </c>
      <c r="R577" s="913" t="s">
        <v>1011</v>
      </c>
      <c r="S577" s="1179">
        <f t="shared" si="34"/>
        <v>15</v>
      </c>
      <c r="T577" s="916" t="s">
        <v>1050</v>
      </c>
      <c r="U577" s="917">
        <f t="shared" si="35"/>
        <v>1753200</v>
      </c>
      <c r="V577" s="544">
        <f>SUM(U554:U577)</f>
        <v>19834800</v>
      </c>
      <c r="W577" s="544">
        <f>V577-'사. 임직원보수 일람표'!O149</f>
        <v>0</v>
      </c>
      <c r="Y577" s="544"/>
      <c r="Z577" s="544"/>
      <c r="AA577" s="544"/>
      <c r="AE577" s="1054"/>
    </row>
    <row r="578" spans="1:31" ht="21.75" hidden="1" customHeight="1" x14ac:dyDescent="0.15">
      <c r="A578" s="569"/>
      <c r="B578" s="570"/>
      <c r="C578" s="570"/>
      <c r="D578" s="571"/>
      <c r="E578" s="572"/>
      <c r="F578" s="573"/>
      <c r="G578" s="942"/>
      <c r="H578" s="602"/>
      <c r="I578" s="574"/>
      <c r="J578" s="574"/>
      <c r="K578" s="955"/>
      <c r="L578" s="1217"/>
      <c r="M578" s="912"/>
      <c r="N578" s="910"/>
      <c r="O578" s="911"/>
      <c r="P578" s="913"/>
      <c r="Q578" s="923"/>
      <c r="R578" s="913"/>
      <c r="S578" s="1167"/>
      <c r="T578" s="916"/>
      <c r="U578" s="917"/>
      <c r="Y578" s="544"/>
      <c r="Z578" s="544"/>
      <c r="AA578" s="544"/>
      <c r="AE578" s="1054"/>
    </row>
    <row r="579" spans="1:31" ht="21.75" hidden="1" customHeight="1" x14ac:dyDescent="0.15">
      <c r="A579" s="569"/>
      <c r="B579" s="570"/>
      <c r="C579" s="570"/>
      <c r="D579" s="571"/>
      <c r="E579" s="572"/>
      <c r="F579" s="573"/>
      <c r="G579" s="942"/>
      <c r="H579" s="602"/>
      <c r="I579" s="574"/>
      <c r="J579" s="574"/>
      <c r="K579" s="955"/>
      <c r="L579" s="1217"/>
      <c r="M579" s="912"/>
      <c r="N579" s="910"/>
      <c r="O579" s="911"/>
      <c r="P579" s="913"/>
      <c r="Q579" s="923"/>
      <c r="R579" s="913"/>
      <c r="S579" s="1167"/>
      <c r="T579" s="916"/>
      <c r="U579" s="917"/>
      <c r="Y579" s="544"/>
      <c r="Z579" s="544"/>
      <c r="AA579" s="544"/>
      <c r="AE579" s="1054"/>
    </row>
    <row r="580" spans="1:31" ht="21.75" customHeight="1" x14ac:dyDescent="0.15">
      <c r="A580" s="569"/>
      <c r="B580" s="570"/>
      <c r="C580" s="570"/>
      <c r="D580" s="571"/>
      <c r="E580" s="572"/>
      <c r="F580" s="573"/>
      <c r="G580" s="942"/>
      <c r="H580" s="602"/>
      <c r="I580" s="574"/>
      <c r="J580" s="574"/>
      <c r="K580" s="955"/>
      <c r="L580" s="1216" t="s">
        <v>736</v>
      </c>
      <c r="M580" s="1397" t="s">
        <v>735</v>
      </c>
      <c r="N580" s="1397"/>
      <c r="O580" s="1397"/>
      <c r="P580" s="1397"/>
      <c r="Q580" s="1397"/>
      <c r="R580" s="1397"/>
      <c r="S580" s="1397"/>
      <c r="T580" s="1397"/>
      <c r="U580" s="980">
        <f>SUM(U581:U624)</f>
        <v>28855300</v>
      </c>
      <c r="V580" s="544">
        <f>U580-'사. 임직원보수 일람표'!P214</f>
        <v>0</v>
      </c>
      <c r="Y580" s="544"/>
      <c r="Z580" s="544"/>
      <c r="AA580" s="544"/>
      <c r="AE580" s="1054"/>
    </row>
    <row r="581" spans="1:31" ht="21.75" hidden="1" customHeight="1" x14ac:dyDescent="0.15">
      <c r="A581" s="569"/>
      <c r="B581" s="570"/>
      <c r="C581" s="570"/>
      <c r="D581" s="571"/>
      <c r="E581" s="572"/>
      <c r="F581" s="573"/>
      <c r="G581" s="942"/>
      <c r="H581" s="602"/>
      <c r="I581" s="574"/>
      <c r="J581" s="574"/>
      <c r="K581" s="955"/>
      <c r="L581" s="1217" t="s">
        <v>655</v>
      </c>
      <c r="M581" s="910" t="s">
        <v>655</v>
      </c>
      <c r="N581" s="910" t="s">
        <v>656</v>
      </c>
      <c r="O581" s="911">
        <f>'사. 임직원보수 일람표'!L5</f>
        <v>29780</v>
      </c>
      <c r="P581" s="913" t="s">
        <v>724</v>
      </c>
      <c r="Q581" s="923">
        <v>5</v>
      </c>
      <c r="R581" s="913" t="s">
        <v>724</v>
      </c>
      <c r="S581" s="915">
        <v>5</v>
      </c>
      <c r="T581" s="916" t="s">
        <v>345</v>
      </c>
      <c r="U581" s="917">
        <f>O581*Q581*S581</f>
        <v>744500</v>
      </c>
      <c r="Y581" s="544"/>
      <c r="Z581" s="544"/>
      <c r="AA581" s="544"/>
      <c r="AE581" s="1054"/>
    </row>
    <row r="582" spans="1:31" ht="21.75" hidden="1" customHeight="1" x14ac:dyDescent="0.15">
      <c r="A582" s="569"/>
      <c r="B582" s="570"/>
      <c r="C582" s="570"/>
      <c r="D582" s="571"/>
      <c r="E582" s="572"/>
      <c r="F582" s="573"/>
      <c r="G582" s="942"/>
      <c r="H582" s="602"/>
      <c r="I582" s="574"/>
      <c r="J582" s="574"/>
      <c r="K582" s="955"/>
      <c r="L582" s="1217" t="s">
        <v>655</v>
      </c>
      <c r="M582" s="910" t="s">
        <v>655</v>
      </c>
      <c r="N582" s="910" t="s">
        <v>656</v>
      </c>
      <c r="O582" s="911">
        <f>'사. 임직원보수 일람표'!L6</f>
        <v>30310</v>
      </c>
      <c r="P582" s="913" t="s">
        <v>724</v>
      </c>
      <c r="Q582" s="923">
        <v>5</v>
      </c>
      <c r="R582" s="913" t="s">
        <v>724</v>
      </c>
      <c r="S582" s="915">
        <v>7</v>
      </c>
      <c r="T582" s="916" t="s">
        <v>345</v>
      </c>
      <c r="U582" s="917">
        <f>O582*Q582*S582</f>
        <v>1060850</v>
      </c>
      <c r="Y582" s="544"/>
      <c r="Z582" s="544"/>
      <c r="AA582" s="544"/>
      <c r="AE582" s="1054"/>
    </row>
    <row r="583" spans="1:31" ht="21.75" hidden="1" customHeight="1" x14ac:dyDescent="0.15">
      <c r="A583" s="569"/>
      <c r="B583" s="570"/>
      <c r="C583" s="570"/>
      <c r="D583" s="571"/>
      <c r="E583" s="572"/>
      <c r="F583" s="573"/>
      <c r="G583" s="942"/>
      <c r="H583" s="602"/>
      <c r="I583" s="574"/>
      <c r="J583" s="574"/>
      <c r="K583" s="955"/>
      <c r="L583" s="1217" t="s">
        <v>657</v>
      </c>
      <c r="M583" s="910" t="s">
        <v>657</v>
      </c>
      <c r="N583" s="910" t="s">
        <v>658</v>
      </c>
      <c r="O583" s="911">
        <f>'사. 임직원보수 일람표'!L7</f>
        <v>29320</v>
      </c>
      <c r="P583" s="913" t="s">
        <v>724</v>
      </c>
      <c r="Q583" s="923">
        <v>5</v>
      </c>
      <c r="R583" s="913" t="s">
        <v>724</v>
      </c>
      <c r="S583" s="915">
        <v>4</v>
      </c>
      <c r="T583" s="916" t="s">
        <v>345</v>
      </c>
      <c r="U583" s="917">
        <f t="shared" ref="U583:U588" si="36">O583*Q583*S583</f>
        <v>586400</v>
      </c>
      <c r="Y583" s="544"/>
      <c r="Z583" s="544"/>
      <c r="AA583" s="544"/>
      <c r="AE583" s="1054"/>
    </row>
    <row r="584" spans="1:31" ht="21.75" hidden="1" customHeight="1" x14ac:dyDescent="0.15">
      <c r="A584" s="569"/>
      <c r="B584" s="570"/>
      <c r="C584" s="570"/>
      <c r="D584" s="571"/>
      <c r="E584" s="572"/>
      <c r="F584" s="573"/>
      <c r="G584" s="942"/>
      <c r="H584" s="602"/>
      <c r="I584" s="574"/>
      <c r="J584" s="574"/>
      <c r="K584" s="955"/>
      <c r="L584" s="1217" t="s">
        <v>657</v>
      </c>
      <c r="M584" s="910" t="s">
        <v>657</v>
      </c>
      <c r="N584" s="910" t="s">
        <v>658</v>
      </c>
      <c r="O584" s="911">
        <f>'사. 임직원보수 일람표'!L8</f>
        <v>29700</v>
      </c>
      <c r="P584" s="913" t="s">
        <v>724</v>
      </c>
      <c r="Q584" s="923">
        <v>5</v>
      </c>
      <c r="R584" s="913" t="s">
        <v>724</v>
      </c>
      <c r="S584" s="915">
        <v>8</v>
      </c>
      <c r="T584" s="916" t="s">
        <v>345</v>
      </c>
      <c r="U584" s="917">
        <f t="shared" si="36"/>
        <v>1188000</v>
      </c>
      <c r="Y584" s="544"/>
      <c r="Z584" s="544"/>
      <c r="AA584" s="544"/>
      <c r="AE584" s="1054"/>
    </row>
    <row r="585" spans="1:31" ht="21.75" hidden="1" customHeight="1" x14ac:dyDescent="0.15">
      <c r="A585" s="569"/>
      <c r="B585" s="570"/>
      <c r="C585" s="570"/>
      <c r="D585" s="571"/>
      <c r="E585" s="572"/>
      <c r="F585" s="573"/>
      <c r="G585" s="942"/>
      <c r="H585" s="602"/>
      <c r="I585" s="574"/>
      <c r="J585" s="574"/>
      <c r="K585" s="955"/>
      <c r="L585" s="1217" t="s">
        <v>659</v>
      </c>
      <c r="M585" s="910" t="s">
        <v>660</v>
      </c>
      <c r="N585" s="910" t="s">
        <v>661</v>
      </c>
      <c r="O585" s="911">
        <f>'사. 임직원보수 일람표'!L9</f>
        <v>25890</v>
      </c>
      <c r="P585" s="913" t="s">
        <v>724</v>
      </c>
      <c r="Q585" s="923">
        <v>5</v>
      </c>
      <c r="R585" s="913" t="s">
        <v>724</v>
      </c>
      <c r="S585" s="915">
        <v>6</v>
      </c>
      <c r="T585" s="916" t="s">
        <v>345</v>
      </c>
      <c r="U585" s="917">
        <f t="shared" si="36"/>
        <v>776700</v>
      </c>
      <c r="Y585" s="544"/>
      <c r="Z585" s="544"/>
      <c r="AA585" s="544"/>
      <c r="AE585" s="1054"/>
    </row>
    <row r="586" spans="1:31" ht="21.75" hidden="1" customHeight="1" x14ac:dyDescent="0.15">
      <c r="A586" s="569"/>
      <c r="B586" s="570"/>
      <c r="C586" s="570"/>
      <c r="D586" s="571"/>
      <c r="E586" s="572"/>
      <c r="F586" s="573"/>
      <c r="G586" s="942"/>
      <c r="H586" s="602"/>
      <c r="I586" s="574"/>
      <c r="J586" s="574"/>
      <c r="K586" s="955"/>
      <c r="L586" s="1217" t="s">
        <v>659</v>
      </c>
      <c r="M586" s="910" t="s">
        <v>660</v>
      </c>
      <c r="N586" s="910" t="s">
        <v>661</v>
      </c>
      <c r="O586" s="911">
        <f>'사. 임직원보수 일람표'!L10</f>
        <v>26300</v>
      </c>
      <c r="P586" s="913" t="s">
        <v>724</v>
      </c>
      <c r="Q586" s="923">
        <v>5</v>
      </c>
      <c r="R586" s="913" t="s">
        <v>724</v>
      </c>
      <c r="S586" s="915">
        <v>6</v>
      </c>
      <c r="T586" s="916" t="s">
        <v>345</v>
      </c>
      <c r="U586" s="917">
        <f t="shared" si="36"/>
        <v>789000</v>
      </c>
      <c r="Y586" s="544"/>
      <c r="Z586" s="544"/>
      <c r="AA586" s="544"/>
      <c r="AE586" s="1054"/>
    </row>
    <row r="587" spans="1:31" ht="21.75" hidden="1" customHeight="1" x14ac:dyDescent="0.15">
      <c r="A587" s="569"/>
      <c r="B587" s="570"/>
      <c r="C587" s="570"/>
      <c r="D587" s="571"/>
      <c r="E587" s="572"/>
      <c r="F587" s="573"/>
      <c r="G587" s="942"/>
      <c r="H587" s="602"/>
      <c r="I587" s="574"/>
      <c r="J587" s="574"/>
      <c r="K587" s="955"/>
      <c r="L587" s="1217" t="s">
        <v>662</v>
      </c>
      <c r="M587" s="910" t="s">
        <v>663</v>
      </c>
      <c r="N587" s="910" t="s">
        <v>664</v>
      </c>
      <c r="O587" s="911">
        <f>'사. 임직원보수 일람표'!L11</f>
        <v>28280</v>
      </c>
      <c r="P587" s="913" t="s">
        <v>724</v>
      </c>
      <c r="Q587" s="923">
        <v>5</v>
      </c>
      <c r="R587" s="913" t="s">
        <v>724</v>
      </c>
      <c r="S587" s="915">
        <v>3</v>
      </c>
      <c r="T587" s="916" t="s">
        <v>345</v>
      </c>
      <c r="U587" s="917">
        <f t="shared" si="36"/>
        <v>424200</v>
      </c>
      <c r="Y587" s="544"/>
      <c r="Z587" s="544"/>
      <c r="AA587" s="544"/>
      <c r="AE587" s="1054"/>
    </row>
    <row r="588" spans="1:31" ht="21.75" hidden="1" customHeight="1" x14ac:dyDescent="0.15">
      <c r="A588" s="569"/>
      <c r="B588" s="570"/>
      <c r="C588" s="570"/>
      <c r="D588" s="571"/>
      <c r="E588" s="572"/>
      <c r="F588" s="573"/>
      <c r="G588" s="942"/>
      <c r="H588" s="602"/>
      <c r="I588" s="574"/>
      <c r="J588" s="574"/>
      <c r="K588" s="955"/>
      <c r="L588" s="1217" t="s">
        <v>662</v>
      </c>
      <c r="M588" s="910" t="s">
        <v>663</v>
      </c>
      <c r="N588" s="910" t="s">
        <v>664</v>
      </c>
      <c r="O588" s="911">
        <f>'사. 임직원보수 일람표'!L12</f>
        <v>28530</v>
      </c>
      <c r="P588" s="913" t="s">
        <v>724</v>
      </c>
      <c r="Q588" s="923">
        <v>5</v>
      </c>
      <c r="R588" s="913" t="s">
        <v>724</v>
      </c>
      <c r="S588" s="915">
        <v>9</v>
      </c>
      <c r="T588" s="916" t="s">
        <v>345</v>
      </c>
      <c r="U588" s="917">
        <f t="shared" si="36"/>
        <v>1283850</v>
      </c>
      <c r="Y588" s="544"/>
      <c r="Z588" s="544"/>
      <c r="AA588" s="544"/>
      <c r="AE588" s="1054"/>
    </row>
    <row r="589" spans="1:31" ht="21.75" hidden="1" customHeight="1" x14ac:dyDescent="0.15">
      <c r="A589" s="569"/>
      <c r="B589" s="570"/>
      <c r="C589" s="570"/>
      <c r="D589" s="571"/>
      <c r="E589" s="572"/>
      <c r="F589" s="573"/>
      <c r="G589" s="942"/>
      <c r="H589" s="602"/>
      <c r="I589" s="574"/>
      <c r="J589" s="574"/>
      <c r="K589" s="955"/>
      <c r="L589" s="1217" t="s">
        <v>665</v>
      </c>
      <c r="M589" s="910" t="s">
        <v>663</v>
      </c>
      <c r="N589" s="910" t="s">
        <v>666</v>
      </c>
      <c r="O589" s="911">
        <f>'사. 임직원보수 일람표'!L13</f>
        <v>21900</v>
      </c>
      <c r="P589" s="913" t="s">
        <v>724</v>
      </c>
      <c r="Q589" s="923">
        <v>5</v>
      </c>
      <c r="R589" s="913" t="s">
        <v>724</v>
      </c>
      <c r="S589" s="915">
        <v>11</v>
      </c>
      <c r="T589" s="916" t="s">
        <v>345</v>
      </c>
      <c r="U589" s="917">
        <f>O589*Q589*S589</f>
        <v>1204500</v>
      </c>
      <c r="Y589" s="544"/>
      <c r="Z589" s="544"/>
      <c r="AA589" s="544"/>
      <c r="AE589" s="1054"/>
    </row>
    <row r="590" spans="1:31" ht="21.75" hidden="1" customHeight="1" x14ac:dyDescent="0.15">
      <c r="A590" s="569"/>
      <c r="B590" s="570"/>
      <c r="C590" s="570"/>
      <c r="D590" s="571"/>
      <c r="E590" s="572"/>
      <c r="F590" s="573"/>
      <c r="G590" s="942"/>
      <c r="H590" s="602"/>
      <c r="I590" s="574"/>
      <c r="J590" s="574"/>
      <c r="K590" s="955"/>
      <c r="L590" s="1217" t="s">
        <v>665</v>
      </c>
      <c r="M590" s="910" t="s">
        <v>663</v>
      </c>
      <c r="N590" s="910" t="s">
        <v>666</v>
      </c>
      <c r="O590" s="911">
        <f>'사. 임직원보수 일람표'!L14</f>
        <v>22360</v>
      </c>
      <c r="P590" s="913" t="s">
        <v>724</v>
      </c>
      <c r="Q590" s="923">
        <v>5</v>
      </c>
      <c r="R590" s="913" t="s">
        <v>724</v>
      </c>
      <c r="S590" s="915">
        <v>1</v>
      </c>
      <c r="T590" s="916" t="s">
        <v>345</v>
      </c>
      <c r="U590" s="917">
        <f t="shared" ref="U590:U639" si="37">O590*Q590*S590</f>
        <v>111800</v>
      </c>
      <c r="Y590" s="544"/>
      <c r="Z590" s="544"/>
      <c r="AA590" s="544"/>
      <c r="AE590" s="1054"/>
    </row>
    <row r="591" spans="1:31" ht="21.75" hidden="1" customHeight="1" x14ac:dyDescent="0.15">
      <c r="A591" s="569"/>
      <c r="B591" s="570"/>
      <c r="C591" s="570"/>
      <c r="D591" s="571"/>
      <c r="E591" s="572"/>
      <c r="F591" s="573"/>
      <c r="G591" s="942"/>
      <c r="H591" s="602"/>
      <c r="I591" s="574"/>
      <c r="J591" s="574"/>
      <c r="K591" s="955"/>
      <c r="L591" s="1217" t="s">
        <v>667</v>
      </c>
      <c r="M591" s="910" t="s">
        <v>663</v>
      </c>
      <c r="N591" s="910" t="s">
        <v>1200</v>
      </c>
      <c r="O591" s="911">
        <f>'사. 임직원보수 일람표'!L15</f>
        <v>23000</v>
      </c>
      <c r="P591" s="913" t="s">
        <v>724</v>
      </c>
      <c r="Q591" s="923">
        <v>5</v>
      </c>
      <c r="R591" s="913" t="s">
        <v>724</v>
      </c>
      <c r="S591" s="915">
        <f>'사. 임직원보수 일람표'!F15</f>
        <v>8</v>
      </c>
      <c r="T591" s="916" t="s">
        <v>345</v>
      </c>
      <c r="U591" s="917">
        <f t="shared" si="37"/>
        <v>920000</v>
      </c>
      <c r="Y591" s="544"/>
      <c r="Z591" s="544"/>
      <c r="AA591" s="544"/>
      <c r="AE591" s="1054"/>
    </row>
    <row r="592" spans="1:31" ht="21.75" hidden="1" customHeight="1" x14ac:dyDescent="0.15">
      <c r="A592" s="569"/>
      <c r="B592" s="570"/>
      <c r="C592" s="570"/>
      <c r="D592" s="571"/>
      <c r="E592" s="572"/>
      <c r="F592" s="573"/>
      <c r="G592" s="942"/>
      <c r="H592" s="602"/>
      <c r="I592" s="574"/>
      <c r="J592" s="574"/>
      <c r="K592" s="955"/>
      <c r="L592" s="1217" t="s">
        <v>667</v>
      </c>
      <c r="M592" s="910" t="s">
        <v>663</v>
      </c>
      <c r="N592" s="910" t="s">
        <v>1200</v>
      </c>
      <c r="O592" s="911">
        <f>'사. 임직원보수 일람표'!L16</f>
        <v>23540</v>
      </c>
      <c r="P592" s="913" t="s">
        <v>724</v>
      </c>
      <c r="Q592" s="923">
        <v>5</v>
      </c>
      <c r="R592" s="913" t="s">
        <v>724</v>
      </c>
      <c r="S592" s="915">
        <f>'사. 임직원보수 일람표'!F16</f>
        <v>4</v>
      </c>
      <c r="T592" s="916" t="s">
        <v>345</v>
      </c>
      <c r="U592" s="917">
        <f t="shared" si="37"/>
        <v>470800</v>
      </c>
      <c r="Y592" s="544"/>
      <c r="Z592" s="544"/>
      <c r="AA592" s="544"/>
      <c r="AE592" s="1054"/>
    </row>
    <row r="593" spans="1:31" ht="21.75" hidden="1" customHeight="1" x14ac:dyDescent="0.15">
      <c r="A593" s="569"/>
      <c r="B593" s="570"/>
      <c r="C593" s="570"/>
      <c r="D593" s="571"/>
      <c r="E593" s="572"/>
      <c r="F593" s="573"/>
      <c r="G593" s="942"/>
      <c r="H593" s="602"/>
      <c r="I593" s="574"/>
      <c r="J593" s="574"/>
      <c r="K593" s="955"/>
      <c r="L593" s="1217" t="s">
        <v>668</v>
      </c>
      <c r="M593" s="910"/>
      <c r="N593" s="910" t="s">
        <v>669</v>
      </c>
      <c r="O593" s="911">
        <f>'사. 임직원보수 일람표'!L17</f>
        <v>23540</v>
      </c>
      <c r="P593" s="913" t="s">
        <v>724</v>
      </c>
      <c r="Q593" s="923">
        <v>5</v>
      </c>
      <c r="R593" s="913" t="s">
        <v>724</v>
      </c>
      <c r="S593" s="915">
        <v>3</v>
      </c>
      <c r="T593" s="916" t="s">
        <v>345</v>
      </c>
      <c r="U593" s="917">
        <f t="shared" si="37"/>
        <v>353100</v>
      </c>
      <c r="Y593" s="544"/>
      <c r="Z593" s="544"/>
      <c r="AA593" s="544"/>
      <c r="AE593" s="1054"/>
    </row>
    <row r="594" spans="1:31" ht="21.75" hidden="1" customHeight="1" x14ac:dyDescent="0.15">
      <c r="A594" s="569"/>
      <c r="B594" s="570"/>
      <c r="C594" s="570"/>
      <c r="D594" s="571"/>
      <c r="E594" s="572"/>
      <c r="F594" s="573"/>
      <c r="G594" s="942"/>
      <c r="H594" s="602"/>
      <c r="I594" s="574"/>
      <c r="J594" s="574"/>
      <c r="K594" s="955"/>
      <c r="L594" s="1217" t="s">
        <v>668</v>
      </c>
      <c r="M594" s="910"/>
      <c r="N594" s="910" t="s">
        <v>669</v>
      </c>
      <c r="O594" s="911">
        <f>'사. 임직원보수 일람표'!L18</f>
        <v>24060</v>
      </c>
      <c r="P594" s="913" t="s">
        <v>724</v>
      </c>
      <c r="Q594" s="923">
        <v>5</v>
      </c>
      <c r="R594" s="913" t="s">
        <v>724</v>
      </c>
      <c r="S594" s="915">
        <v>9</v>
      </c>
      <c r="T594" s="916" t="s">
        <v>345</v>
      </c>
      <c r="U594" s="917">
        <f t="shared" si="37"/>
        <v>1082700</v>
      </c>
      <c r="Y594" s="544"/>
      <c r="Z594" s="544"/>
      <c r="AA594" s="544"/>
      <c r="AE594" s="1054"/>
    </row>
    <row r="595" spans="1:31" ht="21.75" hidden="1" customHeight="1" x14ac:dyDescent="0.15">
      <c r="A595" s="569"/>
      <c r="B595" s="570"/>
      <c r="C595" s="570"/>
      <c r="D595" s="571"/>
      <c r="E595" s="572"/>
      <c r="F595" s="573"/>
      <c r="G595" s="942"/>
      <c r="H595" s="602"/>
      <c r="I595" s="574"/>
      <c r="J595" s="574"/>
      <c r="K595" s="955"/>
      <c r="L595" s="1217" t="s">
        <v>670</v>
      </c>
      <c r="M595" s="910"/>
      <c r="N595" s="910" t="s">
        <v>653</v>
      </c>
      <c r="O595" s="911">
        <f>'사. 임직원보수 일람표'!L19</f>
        <v>19460</v>
      </c>
      <c r="P595" s="913" t="s">
        <v>724</v>
      </c>
      <c r="Q595" s="923">
        <v>5</v>
      </c>
      <c r="R595" s="913" t="s">
        <v>724</v>
      </c>
      <c r="S595" s="915">
        <v>1</v>
      </c>
      <c r="T595" s="916" t="s">
        <v>345</v>
      </c>
      <c r="U595" s="917">
        <f t="shared" si="37"/>
        <v>97300</v>
      </c>
      <c r="Y595" s="544"/>
      <c r="Z595" s="544"/>
      <c r="AA595" s="544"/>
      <c r="AE595" s="1054"/>
    </row>
    <row r="596" spans="1:31" ht="21.75" hidden="1" customHeight="1" x14ac:dyDescent="0.15">
      <c r="A596" s="569"/>
      <c r="B596" s="570"/>
      <c r="C596" s="570"/>
      <c r="D596" s="571"/>
      <c r="E596" s="572"/>
      <c r="F596" s="573"/>
      <c r="G596" s="942"/>
      <c r="H596" s="602"/>
      <c r="I596" s="574"/>
      <c r="J596" s="574"/>
      <c r="K596" s="955"/>
      <c r="L596" s="1217" t="s">
        <v>670</v>
      </c>
      <c r="M596" s="910"/>
      <c r="N596" s="910" t="s">
        <v>672</v>
      </c>
      <c r="O596" s="911">
        <f>'사. 임직원보수 일람표'!L20</f>
        <v>20300</v>
      </c>
      <c r="P596" s="913" t="s">
        <v>724</v>
      </c>
      <c r="Q596" s="923">
        <v>5</v>
      </c>
      <c r="R596" s="913" t="s">
        <v>724</v>
      </c>
      <c r="S596" s="915">
        <v>11</v>
      </c>
      <c r="T596" s="916" t="s">
        <v>345</v>
      </c>
      <c r="U596" s="917">
        <f t="shared" si="37"/>
        <v>1116500</v>
      </c>
      <c r="Y596" s="544"/>
      <c r="Z596" s="544"/>
      <c r="AA596" s="544"/>
      <c r="AE596" s="1054"/>
    </row>
    <row r="597" spans="1:31" ht="21.75" hidden="1" customHeight="1" x14ac:dyDescent="0.15">
      <c r="A597" s="569"/>
      <c r="B597" s="570"/>
      <c r="C597" s="570"/>
      <c r="D597" s="571"/>
      <c r="E597" s="572"/>
      <c r="F597" s="573"/>
      <c r="G597" s="942"/>
      <c r="H597" s="602"/>
      <c r="I597" s="574"/>
      <c r="J597" s="574"/>
      <c r="K597" s="955"/>
      <c r="L597" s="1217" t="s">
        <v>673</v>
      </c>
      <c r="M597" s="910"/>
      <c r="N597" s="910" t="s">
        <v>674</v>
      </c>
      <c r="O597" s="911">
        <f>'사. 임직원보수 일람표'!L21</f>
        <v>24060</v>
      </c>
      <c r="P597" s="913" t="s">
        <v>724</v>
      </c>
      <c r="Q597" s="923">
        <v>5</v>
      </c>
      <c r="R597" s="913" t="s">
        <v>724</v>
      </c>
      <c r="S597" s="915">
        <v>7</v>
      </c>
      <c r="T597" s="916" t="s">
        <v>345</v>
      </c>
      <c r="U597" s="917">
        <f t="shared" si="37"/>
        <v>842100</v>
      </c>
      <c r="Y597" s="544"/>
      <c r="Z597" s="544"/>
      <c r="AA597" s="544"/>
      <c r="AE597" s="1054"/>
    </row>
    <row r="598" spans="1:31" ht="21.75" hidden="1" customHeight="1" x14ac:dyDescent="0.15">
      <c r="A598" s="569"/>
      <c r="B598" s="570"/>
      <c r="C598" s="570"/>
      <c r="D598" s="571"/>
      <c r="E598" s="572"/>
      <c r="F598" s="573"/>
      <c r="G598" s="942"/>
      <c r="H598" s="602"/>
      <c r="I598" s="574"/>
      <c r="J598" s="574"/>
      <c r="K598" s="955"/>
      <c r="L598" s="1217" t="s">
        <v>673</v>
      </c>
      <c r="M598" s="910"/>
      <c r="N598" s="910" t="s">
        <v>674</v>
      </c>
      <c r="O598" s="911">
        <f>'사. 임직원보수 일람표'!L22</f>
        <v>24560</v>
      </c>
      <c r="P598" s="913" t="s">
        <v>724</v>
      </c>
      <c r="Q598" s="923">
        <v>5</v>
      </c>
      <c r="R598" s="913" t="s">
        <v>724</v>
      </c>
      <c r="S598" s="915">
        <v>5</v>
      </c>
      <c r="T598" s="916" t="s">
        <v>345</v>
      </c>
      <c r="U598" s="917">
        <f t="shared" si="37"/>
        <v>614000</v>
      </c>
      <c r="Y598" s="544"/>
      <c r="Z598" s="544"/>
      <c r="AA598" s="544"/>
      <c r="AE598" s="1054"/>
    </row>
    <row r="599" spans="1:31" ht="21.75" hidden="1" customHeight="1" x14ac:dyDescent="0.15">
      <c r="A599" s="569"/>
      <c r="B599" s="570"/>
      <c r="C599" s="570"/>
      <c r="D599" s="571"/>
      <c r="E599" s="572"/>
      <c r="F599" s="573"/>
      <c r="G599" s="942"/>
      <c r="H599" s="602"/>
      <c r="I599" s="574"/>
      <c r="J599" s="574"/>
      <c r="K599" s="955"/>
      <c r="L599" s="1217" t="s">
        <v>675</v>
      </c>
      <c r="M599" s="910" t="s">
        <v>660</v>
      </c>
      <c r="N599" s="910" t="s">
        <v>676</v>
      </c>
      <c r="O599" s="911">
        <f>'사. 임직원보수 일람표'!L23</f>
        <v>25490</v>
      </c>
      <c r="P599" s="913" t="s">
        <v>724</v>
      </c>
      <c r="Q599" s="923">
        <v>5</v>
      </c>
      <c r="R599" s="913" t="s">
        <v>724</v>
      </c>
      <c r="S599" s="915">
        <v>9</v>
      </c>
      <c r="T599" s="916" t="s">
        <v>345</v>
      </c>
      <c r="U599" s="917">
        <f t="shared" si="37"/>
        <v>1147050</v>
      </c>
      <c r="Y599" s="544"/>
      <c r="Z599" s="544"/>
      <c r="AA599" s="544"/>
      <c r="AE599" s="1054"/>
    </row>
    <row r="600" spans="1:31" ht="21.75" hidden="1" customHeight="1" x14ac:dyDescent="0.15">
      <c r="A600" s="569"/>
      <c r="B600" s="570"/>
      <c r="C600" s="570"/>
      <c r="D600" s="571"/>
      <c r="E600" s="572"/>
      <c r="F600" s="573"/>
      <c r="G600" s="942"/>
      <c r="H600" s="602"/>
      <c r="I600" s="574"/>
      <c r="J600" s="574"/>
      <c r="K600" s="955"/>
      <c r="L600" s="1217" t="s">
        <v>675</v>
      </c>
      <c r="M600" s="910" t="s">
        <v>660</v>
      </c>
      <c r="N600" s="910" t="s">
        <v>676</v>
      </c>
      <c r="O600" s="911">
        <f>'사. 임직원보수 일람표'!L24</f>
        <v>25890</v>
      </c>
      <c r="P600" s="913" t="s">
        <v>724</v>
      </c>
      <c r="Q600" s="923">
        <v>5</v>
      </c>
      <c r="R600" s="913" t="s">
        <v>724</v>
      </c>
      <c r="S600" s="915">
        <v>3</v>
      </c>
      <c r="T600" s="916" t="s">
        <v>345</v>
      </c>
      <c r="U600" s="917">
        <f t="shared" si="37"/>
        <v>388350</v>
      </c>
      <c r="Y600" s="544"/>
      <c r="Z600" s="544"/>
      <c r="AA600" s="544"/>
      <c r="AE600" s="1054"/>
    </row>
    <row r="601" spans="1:31" ht="21.75" hidden="1" customHeight="1" x14ac:dyDescent="0.15">
      <c r="A601" s="569"/>
      <c r="B601" s="570"/>
      <c r="C601" s="570"/>
      <c r="D601" s="571"/>
      <c r="E601" s="572"/>
      <c r="F601" s="573"/>
      <c r="G601" s="942"/>
      <c r="H601" s="602"/>
      <c r="I601" s="574"/>
      <c r="J601" s="574"/>
      <c r="K601" s="955"/>
      <c r="L601" s="1217" t="s">
        <v>665</v>
      </c>
      <c r="M601" s="910" t="s">
        <v>663</v>
      </c>
      <c r="N601" s="910" t="s">
        <v>677</v>
      </c>
      <c r="O601" s="911">
        <f>'사. 임직원보수 일람표'!L25</f>
        <v>21420</v>
      </c>
      <c r="P601" s="913" t="s">
        <v>724</v>
      </c>
      <c r="Q601" s="923">
        <v>5</v>
      </c>
      <c r="R601" s="913" t="s">
        <v>724</v>
      </c>
      <c r="S601" s="915">
        <v>7</v>
      </c>
      <c r="T601" s="916" t="s">
        <v>345</v>
      </c>
      <c r="U601" s="917">
        <f t="shared" si="37"/>
        <v>749700</v>
      </c>
      <c r="Y601" s="544"/>
      <c r="Z601" s="544"/>
      <c r="AA601" s="544"/>
      <c r="AE601" s="1054"/>
    </row>
    <row r="602" spans="1:31" ht="21.75" hidden="1" customHeight="1" x14ac:dyDescent="0.15">
      <c r="A602" s="569"/>
      <c r="B602" s="570"/>
      <c r="C602" s="570"/>
      <c r="D602" s="571"/>
      <c r="E602" s="572"/>
      <c r="F602" s="573"/>
      <c r="G602" s="942"/>
      <c r="H602" s="602"/>
      <c r="I602" s="574"/>
      <c r="J602" s="574"/>
      <c r="K602" s="955"/>
      <c r="L602" s="1217" t="s">
        <v>665</v>
      </c>
      <c r="M602" s="910" t="s">
        <v>663</v>
      </c>
      <c r="N602" s="910" t="s">
        <v>677</v>
      </c>
      <c r="O602" s="911">
        <f>'사. 임직원보수 일람표'!L26</f>
        <v>21900</v>
      </c>
      <c r="P602" s="913" t="s">
        <v>724</v>
      </c>
      <c r="Q602" s="923">
        <v>5</v>
      </c>
      <c r="R602" s="913" t="s">
        <v>724</v>
      </c>
      <c r="S602" s="915">
        <v>5</v>
      </c>
      <c r="T602" s="916" t="s">
        <v>345</v>
      </c>
      <c r="U602" s="917">
        <f t="shared" si="37"/>
        <v>547500</v>
      </c>
      <c r="Y602" s="544"/>
      <c r="Z602" s="544"/>
      <c r="AA602" s="544"/>
      <c r="AE602" s="1054"/>
    </row>
    <row r="603" spans="1:31" ht="21.75" hidden="1" customHeight="1" x14ac:dyDescent="0.15">
      <c r="A603" s="569"/>
      <c r="B603" s="570"/>
      <c r="C603" s="570"/>
      <c r="D603" s="571"/>
      <c r="E603" s="572"/>
      <c r="F603" s="573"/>
      <c r="G603" s="942"/>
      <c r="H603" s="602"/>
      <c r="I603" s="574"/>
      <c r="J603" s="574"/>
      <c r="K603" s="955"/>
      <c r="L603" s="1217" t="s">
        <v>678</v>
      </c>
      <c r="M603" s="910"/>
      <c r="N603" s="910" t="s">
        <v>679</v>
      </c>
      <c r="O603" s="911">
        <f>'사. 임직원보수 일람표'!L27</f>
        <v>20460</v>
      </c>
      <c r="P603" s="913" t="s">
        <v>724</v>
      </c>
      <c r="Q603" s="923">
        <v>5</v>
      </c>
      <c r="R603" s="913" t="s">
        <v>724</v>
      </c>
      <c r="S603" s="915">
        <v>3</v>
      </c>
      <c r="T603" s="916" t="s">
        <v>345</v>
      </c>
      <c r="U603" s="917">
        <f t="shared" si="37"/>
        <v>306900</v>
      </c>
      <c r="Y603" s="544"/>
      <c r="Z603" s="544"/>
      <c r="AA603" s="544"/>
      <c r="AE603" s="1054"/>
    </row>
    <row r="604" spans="1:31" ht="21.75" hidden="1" customHeight="1" x14ac:dyDescent="0.15">
      <c r="A604" s="569"/>
      <c r="B604" s="570"/>
      <c r="C604" s="570"/>
      <c r="D604" s="571"/>
      <c r="E604" s="572"/>
      <c r="F604" s="573"/>
      <c r="G604" s="942"/>
      <c r="H604" s="602"/>
      <c r="I604" s="574"/>
      <c r="J604" s="574"/>
      <c r="K604" s="955"/>
      <c r="L604" s="1217" t="s">
        <v>678</v>
      </c>
      <c r="M604" s="910"/>
      <c r="N604" s="910" t="s">
        <v>679</v>
      </c>
      <c r="O604" s="911">
        <f>'사. 임직원보수 일람표'!L28</f>
        <v>20900</v>
      </c>
      <c r="P604" s="913" t="s">
        <v>724</v>
      </c>
      <c r="Q604" s="923">
        <v>5</v>
      </c>
      <c r="R604" s="913" t="s">
        <v>724</v>
      </c>
      <c r="S604" s="915">
        <v>9</v>
      </c>
      <c r="T604" s="916" t="s">
        <v>345</v>
      </c>
      <c r="U604" s="917">
        <f t="shared" si="37"/>
        <v>940500</v>
      </c>
      <c r="Y604" s="544"/>
      <c r="Z604" s="544"/>
      <c r="AA604" s="544"/>
      <c r="AE604" s="1054"/>
    </row>
    <row r="605" spans="1:31" ht="21.75" hidden="1" customHeight="1" x14ac:dyDescent="0.15">
      <c r="A605" s="569"/>
      <c r="B605" s="570"/>
      <c r="C605" s="570"/>
      <c r="D605" s="571"/>
      <c r="E605" s="572"/>
      <c r="F605" s="573"/>
      <c r="G605" s="942"/>
      <c r="H605" s="602"/>
      <c r="I605" s="574"/>
      <c r="J605" s="574"/>
      <c r="K605" s="955"/>
      <c r="L605" s="1217" t="s">
        <v>680</v>
      </c>
      <c r="M605" s="910" t="s">
        <v>663</v>
      </c>
      <c r="N605" s="910" t="s">
        <v>681</v>
      </c>
      <c r="O605" s="911">
        <f>'사. 임직원보수 일람표'!L29</f>
        <v>20020</v>
      </c>
      <c r="P605" s="913" t="s">
        <v>724</v>
      </c>
      <c r="Q605" s="923">
        <v>5</v>
      </c>
      <c r="R605" s="913" t="s">
        <v>724</v>
      </c>
      <c r="S605" s="915">
        <v>1</v>
      </c>
      <c r="T605" s="916" t="s">
        <v>345</v>
      </c>
      <c r="U605" s="917">
        <f t="shared" si="37"/>
        <v>100100</v>
      </c>
      <c r="Y605" s="544"/>
      <c r="Z605" s="544"/>
      <c r="AA605" s="544"/>
      <c r="AE605" s="1054"/>
    </row>
    <row r="606" spans="1:31" ht="21.75" hidden="1" customHeight="1" x14ac:dyDescent="0.15">
      <c r="A606" s="569"/>
      <c r="B606" s="570"/>
      <c r="C606" s="570"/>
      <c r="D606" s="571"/>
      <c r="E606" s="572"/>
      <c r="F606" s="573"/>
      <c r="G606" s="942"/>
      <c r="H606" s="602"/>
      <c r="I606" s="574"/>
      <c r="J606" s="574"/>
      <c r="K606" s="955"/>
      <c r="L606" s="1217" t="s">
        <v>680</v>
      </c>
      <c r="M606" s="910" t="s">
        <v>663</v>
      </c>
      <c r="N606" s="910" t="s">
        <v>681</v>
      </c>
      <c r="O606" s="911">
        <f>'사. 임직원보수 일람표'!L30</f>
        <v>20460</v>
      </c>
      <c r="P606" s="913" t="s">
        <v>724</v>
      </c>
      <c r="Q606" s="923">
        <v>5</v>
      </c>
      <c r="R606" s="913" t="s">
        <v>724</v>
      </c>
      <c r="S606" s="915">
        <v>11</v>
      </c>
      <c r="T606" s="916" t="s">
        <v>345</v>
      </c>
      <c r="U606" s="917">
        <f t="shared" si="37"/>
        <v>1125300</v>
      </c>
      <c r="Y606" s="544"/>
      <c r="Z606" s="544"/>
      <c r="AA606" s="544"/>
      <c r="AE606" s="1054"/>
    </row>
    <row r="607" spans="1:31" ht="21.75" hidden="1" customHeight="1" x14ac:dyDescent="0.15">
      <c r="A607" s="569"/>
      <c r="B607" s="570"/>
      <c r="C607" s="570"/>
      <c r="D607" s="571"/>
      <c r="E607" s="572"/>
      <c r="F607" s="573"/>
      <c r="G607" s="942"/>
      <c r="H607" s="602"/>
      <c r="I607" s="574"/>
      <c r="J607" s="574"/>
      <c r="K607" s="955"/>
      <c r="L607" s="1217" t="s">
        <v>680</v>
      </c>
      <c r="M607" s="910" t="s">
        <v>663</v>
      </c>
      <c r="N607" s="910" t="s">
        <v>685</v>
      </c>
      <c r="O607" s="911">
        <f>'사. 임직원보수 일람표'!L37</f>
        <v>20900</v>
      </c>
      <c r="P607" s="913" t="s">
        <v>724</v>
      </c>
      <c r="Q607" s="923">
        <v>5</v>
      </c>
      <c r="R607" s="913" t="s">
        <v>724</v>
      </c>
      <c r="S607" s="915">
        <v>10</v>
      </c>
      <c r="T607" s="916" t="s">
        <v>345</v>
      </c>
      <c r="U607" s="917">
        <f t="shared" si="37"/>
        <v>1045000</v>
      </c>
      <c r="Y607" s="544"/>
      <c r="Z607" s="544"/>
      <c r="AA607" s="544"/>
      <c r="AE607" s="1054"/>
    </row>
    <row r="608" spans="1:31" ht="21.75" hidden="1" customHeight="1" x14ac:dyDescent="0.15">
      <c r="A608" s="569"/>
      <c r="B608" s="570"/>
      <c r="C608" s="570"/>
      <c r="D608" s="571"/>
      <c r="E608" s="572"/>
      <c r="F608" s="573"/>
      <c r="G608" s="942"/>
      <c r="H608" s="602"/>
      <c r="I608" s="574"/>
      <c r="J608" s="574"/>
      <c r="K608" s="955"/>
      <c r="L608" s="1217" t="s">
        <v>680</v>
      </c>
      <c r="M608" s="910" t="s">
        <v>663</v>
      </c>
      <c r="N608" s="910" t="s">
        <v>685</v>
      </c>
      <c r="O608" s="911">
        <f>'사. 임직원보수 일람표'!L38</f>
        <v>21320</v>
      </c>
      <c r="P608" s="913" t="s">
        <v>724</v>
      </c>
      <c r="Q608" s="923">
        <v>5</v>
      </c>
      <c r="R608" s="913" t="s">
        <v>724</v>
      </c>
      <c r="S608" s="915">
        <v>2</v>
      </c>
      <c r="T608" s="916" t="s">
        <v>345</v>
      </c>
      <c r="U608" s="917">
        <f t="shared" si="37"/>
        <v>213200</v>
      </c>
      <c r="Y608" s="544"/>
      <c r="Z608" s="544"/>
      <c r="AA608" s="544"/>
      <c r="AE608" s="1054"/>
    </row>
    <row r="609" spans="1:31" ht="21.75" hidden="1" customHeight="1" x14ac:dyDescent="0.15">
      <c r="A609" s="569"/>
      <c r="B609" s="570"/>
      <c r="C609" s="570"/>
      <c r="D609" s="571"/>
      <c r="E609" s="572"/>
      <c r="F609" s="573"/>
      <c r="G609" s="942"/>
      <c r="H609" s="602"/>
      <c r="I609" s="574"/>
      <c r="J609" s="574"/>
      <c r="K609" s="955"/>
      <c r="L609" s="1217" t="s">
        <v>680</v>
      </c>
      <c r="M609" s="910" t="s">
        <v>663</v>
      </c>
      <c r="N609" s="910" t="s">
        <v>686</v>
      </c>
      <c r="O609" s="911">
        <f>'사. 임직원보수 일람표'!L39</f>
        <v>19590</v>
      </c>
      <c r="P609" s="913" t="s">
        <v>724</v>
      </c>
      <c r="Q609" s="923">
        <v>5</v>
      </c>
      <c r="R609" s="913" t="s">
        <v>724</v>
      </c>
      <c r="S609" s="915">
        <v>4</v>
      </c>
      <c r="T609" s="916" t="s">
        <v>345</v>
      </c>
      <c r="U609" s="917">
        <f t="shared" si="37"/>
        <v>391800</v>
      </c>
      <c r="Y609" s="544"/>
      <c r="Z609" s="544"/>
      <c r="AA609" s="544"/>
      <c r="AE609" s="1054"/>
    </row>
    <row r="610" spans="1:31" ht="21.75" hidden="1" customHeight="1" x14ac:dyDescent="0.15">
      <c r="A610" s="569"/>
      <c r="B610" s="570"/>
      <c r="C610" s="570"/>
      <c r="D610" s="571"/>
      <c r="E610" s="572"/>
      <c r="F610" s="573"/>
      <c r="G610" s="942"/>
      <c r="H610" s="602"/>
      <c r="I610" s="574"/>
      <c r="J610" s="574"/>
      <c r="K610" s="955"/>
      <c r="L610" s="1217" t="s">
        <v>680</v>
      </c>
      <c r="M610" s="910" t="s">
        <v>663</v>
      </c>
      <c r="N610" s="910" t="s">
        <v>686</v>
      </c>
      <c r="O610" s="911">
        <f>'사. 임직원보수 일람표'!L40</f>
        <v>20020</v>
      </c>
      <c r="P610" s="913" t="s">
        <v>724</v>
      </c>
      <c r="Q610" s="923">
        <v>5</v>
      </c>
      <c r="R610" s="913" t="s">
        <v>724</v>
      </c>
      <c r="S610" s="915">
        <v>8</v>
      </c>
      <c r="T610" s="916" t="s">
        <v>345</v>
      </c>
      <c r="U610" s="917">
        <f t="shared" si="37"/>
        <v>800800</v>
      </c>
      <c r="Y610" s="544"/>
      <c r="Z610" s="544"/>
      <c r="AA610" s="544"/>
      <c r="AE610" s="1054"/>
    </row>
    <row r="611" spans="1:31" ht="21.75" hidden="1" customHeight="1" x14ac:dyDescent="0.15">
      <c r="A611" s="569"/>
      <c r="B611" s="570"/>
      <c r="C611" s="570"/>
      <c r="D611" s="571"/>
      <c r="E611" s="572"/>
      <c r="F611" s="573"/>
      <c r="G611" s="942"/>
      <c r="H611" s="602"/>
      <c r="I611" s="574"/>
      <c r="J611" s="574"/>
      <c r="K611" s="955"/>
      <c r="L611" s="1217" t="s">
        <v>680</v>
      </c>
      <c r="M611" s="910" t="s">
        <v>663</v>
      </c>
      <c r="N611" s="910" t="s">
        <v>687</v>
      </c>
      <c r="O611" s="911">
        <f>'사. 임직원보수 일람표'!L41</f>
        <v>18780</v>
      </c>
      <c r="P611" s="913" t="s">
        <v>724</v>
      </c>
      <c r="Q611" s="923">
        <v>5</v>
      </c>
      <c r="R611" s="913" t="s">
        <v>724</v>
      </c>
      <c r="S611" s="915">
        <v>3</v>
      </c>
      <c r="T611" s="916" t="s">
        <v>345</v>
      </c>
      <c r="U611" s="917">
        <f t="shared" si="37"/>
        <v>281700</v>
      </c>
      <c r="Y611" s="544"/>
      <c r="Z611" s="544"/>
      <c r="AA611" s="544"/>
      <c r="AE611" s="1054"/>
    </row>
    <row r="612" spans="1:31" ht="21.75" hidden="1" customHeight="1" x14ac:dyDescent="0.15">
      <c r="A612" s="569"/>
      <c r="B612" s="570"/>
      <c r="C612" s="570"/>
      <c r="D612" s="571"/>
      <c r="E612" s="572"/>
      <c r="F612" s="573"/>
      <c r="G612" s="942"/>
      <c r="H612" s="602"/>
      <c r="I612" s="574"/>
      <c r="J612" s="574"/>
      <c r="K612" s="955"/>
      <c r="L612" s="1217" t="s">
        <v>680</v>
      </c>
      <c r="M612" s="910" t="s">
        <v>663</v>
      </c>
      <c r="N612" s="910" t="s">
        <v>687</v>
      </c>
      <c r="O612" s="911">
        <f>'사. 임직원보수 일람표'!L42</f>
        <v>19140</v>
      </c>
      <c r="P612" s="913" t="s">
        <v>724</v>
      </c>
      <c r="Q612" s="923">
        <v>5</v>
      </c>
      <c r="R612" s="913" t="s">
        <v>724</v>
      </c>
      <c r="S612" s="915">
        <v>9</v>
      </c>
      <c r="T612" s="916" t="s">
        <v>345</v>
      </c>
      <c r="U612" s="917">
        <f t="shared" si="37"/>
        <v>861300</v>
      </c>
      <c r="Y612" s="544"/>
      <c r="Z612" s="544"/>
      <c r="AA612" s="544"/>
      <c r="AE612" s="1054"/>
    </row>
    <row r="613" spans="1:31" ht="21.75" hidden="1" customHeight="1" x14ac:dyDescent="0.15">
      <c r="A613" s="569"/>
      <c r="B613" s="570"/>
      <c r="C613" s="570"/>
      <c r="D613" s="571"/>
      <c r="E613" s="572"/>
      <c r="F613" s="573"/>
      <c r="G613" s="942"/>
      <c r="H613" s="602"/>
      <c r="I613" s="574"/>
      <c r="J613" s="574"/>
      <c r="K613" s="955"/>
      <c r="L613" s="1217" t="s">
        <v>680</v>
      </c>
      <c r="M613" s="910"/>
      <c r="N613" s="910" t="s">
        <v>689</v>
      </c>
      <c r="O613" s="911">
        <f>'사. 임직원보수 일람표'!L43</f>
        <v>19140</v>
      </c>
      <c r="P613" s="913" t="s">
        <v>724</v>
      </c>
      <c r="Q613" s="923">
        <v>5</v>
      </c>
      <c r="R613" s="913" t="s">
        <v>724</v>
      </c>
      <c r="S613" s="915">
        <v>2</v>
      </c>
      <c r="T613" s="916" t="s">
        <v>345</v>
      </c>
      <c r="U613" s="917">
        <f t="shared" si="37"/>
        <v>191400</v>
      </c>
      <c r="Y613" s="544"/>
      <c r="Z613" s="544"/>
      <c r="AA613" s="544"/>
      <c r="AE613" s="1054"/>
    </row>
    <row r="614" spans="1:31" ht="21.75" hidden="1" customHeight="1" x14ac:dyDescent="0.15">
      <c r="A614" s="569"/>
      <c r="B614" s="570"/>
      <c r="C614" s="570"/>
      <c r="D614" s="571"/>
      <c r="E614" s="572"/>
      <c r="F614" s="573"/>
      <c r="G614" s="942"/>
      <c r="H614" s="602"/>
      <c r="I614" s="574"/>
      <c r="J614" s="574"/>
      <c r="K614" s="955"/>
      <c r="L614" s="1217" t="s">
        <v>680</v>
      </c>
      <c r="M614" s="910"/>
      <c r="N614" s="910" t="s">
        <v>689</v>
      </c>
      <c r="O614" s="911">
        <f>'사. 임직원보수 일람표'!L44</f>
        <v>19590</v>
      </c>
      <c r="P614" s="913" t="s">
        <v>724</v>
      </c>
      <c r="Q614" s="923">
        <v>5</v>
      </c>
      <c r="R614" s="913" t="s">
        <v>724</v>
      </c>
      <c r="S614" s="915">
        <v>10</v>
      </c>
      <c r="T614" s="916" t="s">
        <v>345</v>
      </c>
      <c r="U614" s="917">
        <f t="shared" si="37"/>
        <v>979500</v>
      </c>
      <c r="Y614" s="544"/>
      <c r="Z614" s="544"/>
      <c r="AA614" s="544"/>
      <c r="AE614" s="1054"/>
    </row>
    <row r="615" spans="1:31" ht="21.75" hidden="1" customHeight="1" x14ac:dyDescent="0.15">
      <c r="A615" s="569"/>
      <c r="B615" s="570"/>
      <c r="C615" s="570"/>
      <c r="D615" s="571"/>
      <c r="E615" s="572"/>
      <c r="F615" s="573"/>
      <c r="G615" s="942"/>
      <c r="H615" s="602"/>
      <c r="I615" s="574"/>
      <c r="J615" s="574"/>
      <c r="K615" s="955"/>
      <c r="L615" s="1217" t="s">
        <v>680</v>
      </c>
      <c r="M615" s="910"/>
      <c r="N615" s="910" t="s">
        <v>690</v>
      </c>
      <c r="O615" s="911">
        <f>'사. 임직원보수 일람표'!L45</f>
        <v>19590</v>
      </c>
      <c r="P615" s="913" t="s">
        <v>724</v>
      </c>
      <c r="Q615" s="923">
        <v>5</v>
      </c>
      <c r="R615" s="913" t="s">
        <v>724</v>
      </c>
      <c r="S615" s="915">
        <v>5</v>
      </c>
      <c r="T615" s="916" t="s">
        <v>345</v>
      </c>
      <c r="U615" s="917">
        <f t="shared" si="37"/>
        <v>489750</v>
      </c>
      <c r="Y615" s="544"/>
      <c r="Z615" s="544"/>
      <c r="AA615" s="544"/>
      <c r="AE615" s="1054"/>
    </row>
    <row r="616" spans="1:31" ht="21.75" hidden="1" customHeight="1" x14ac:dyDescent="0.15">
      <c r="A616" s="569"/>
      <c r="B616" s="570"/>
      <c r="C616" s="570"/>
      <c r="D616" s="571"/>
      <c r="E616" s="572"/>
      <c r="F616" s="573"/>
      <c r="G616" s="942"/>
      <c r="H616" s="602"/>
      <c r="I616" s="574"/>
      <c r="J616" s="574"/>
      <c r="K616" s="955"/>
      <c r="L616" s="1217" t="s">
        <v>680</v>
      </c>
      <c r="M616" s="910"/>
      <c r="N616" s="910" t="s">
        <v>690</v>
      </c>
      <c r="O616" s="911">
        <f>'사. 임직원보수 일람표'!L46</f>
        <v>20020</v>
      </c>
      <c r="P616" s="913" t="s">
        <v>724</v>
      </c>
      <c r="Q616" s="923">
        <v>5</v>
      </c>
      <c r="R616" s="913" t="s">
        <v>724</v>
      </c>
      <c r="S616" s="915">
        <v>7</v>
      </c>
      <c r="T616" s="916" t="s">
        <v>345</v>
      </c>
      <c r="U616" s="917">
        <f t="shared" si="37"/>
        <v>700700</v>
      </c>
      <c r="Y616" s="544"/>
      <c r="Z616" s="544"/>
      <c r="AA616" s="544"/>
      <c r="AE616" s="1054"/>
    </row>
    <row r="617" spans="1:31" ht="21.75" hidden="1" customHeight="1" x14ac:dyDescent="0.15">
      <c r="A617" s="569"/>
      <c r="B617" s="570"/>
      <c r="C617" s="570"/>
      <c r="D617" s="571"/>
      <c r="E617" s="572"/>
      <c r="F617" s="573"/>
      <c r="G617" s="942"/>
      <c r="H617" s="602"/>
      <c r="I617" s="574"/>
      <c r="J617" s="574"/>
      <c r="K617" s="955"/>
      <c r="L617" s="1217" t="s">
        <v>680</v>
      </c>
      <c r="M617" s="910"/>
      <c r="N617" s="910" t="s">
        <v>691</v>
      </c>
      <c r="O617" s="911">
        <f>'사. 임직원보수 일람표'!L47</f>
        <v>18780</v>
      </c>
      <c r="P617" s="913" t="s">
        <v>724</v>
      </c>
      <c r="Q617" s="923">
        <v>5</v>
      </c>
      <c r="R617" s="913" t="s">
        <v>724</v>
      </c>
      <c r="S617" s="915">
        <v>6</v>
      </c>
      <c r="T617" s="916" t="s">
        <v>345</v>
      </c>
      <c r="U617" s="917">
        <f t="shared" si="37"/>
        <v>563400</v>
      </c>
      <c r="Y617" s="544"/>
      <c r="Z617" s="544"/>
      <c r="AA617" s="544"/>
      <c r="AE617" s="1054"/>
    </row>
    <row r="618" spans="1:31" ht="21.75" hidden="1" customHeight="1" x14ac:dyDescent="0.15">
      <c r="A618" s="569"/>
      <c r="B618" s="570"/>
      <c r="C618" s="570"/>
      <c r="D618" s="571"/>
      <c r="E618" s="572"/>
      <c r="F618" s="573"/>
      <c r="G618" s="942"/>
      <c r="H618" s="602"/>
      <c r="I618" s="574"/>
      <c r="J618" s="574"/>
      <c r="K618" s="955"/>
      <c r="L618" s="1217" t="s">
        <v>680</v>
      </c>
      <c r="M618" s="910"/>
      <c r="N618" s="910" t="s">
        <v>691</v>
      </c>
      <c r="O618" s="911">
        <f>'사. 임직원보수 일람표'!L48</f>
        <v>19140</v>
      </c>
      <c r="P618" s="913" t="s">
        <v>724</v>
      </c>
      <c r="Q618" s="923">
        <v>5</v>
      </c>
      <c r="R618" s="913" t="s">
        <v>724</v>
      </c>
      <c r="S618" s="915">
        <v>6</v>
      </c>
      <c r="T618" s="916" t="s">
        <v>345</v>
      </c>
      <c r="U618" s="917">
        <f t="shared" si="37"/>
        <v>574200</v>
      </c>
      <c r="Y618" s="544"/>
      <c r="Z618" s="544"/>
      <c r="AA618" s="544"/>
      <c r="AE618" s="1054"/>
    </row>
    <row r="619" spans="1:31" ht="21.75" hidden="1" customHeight="1" x14ac:dyDescent="0.15">
      <c r="A619" s="569"/>
      <c r="B619" s="570"/>
      <c r="C619" s="570"/>
      <c r="D619" s="571"/>
      <c r="E619" s="572"/>
      <c r="F619" s="573"/>
      <c r="G619" s="942"/>
      <c r="H619" s="602"/>
      <c r="I619" s="574"/>
      <c r="J619" s="574"/>
      <c r="K619" s="955"/>
      <c r="L619" s="1217" t="s">
        <v>680</v>
      </c>
      <c r="M619" s="910"/>
      <c r="N619" s="910" t="s">
        <v>1290</v>
      </c>
      <c r="O619" s="911">
        <f>'사. 임직원보수 일람표'!L83</f>
        <v>14200</v>
      </c>
      <c r="P619" s="913" t="s">
        <v>724</v>
      </c>
      <c r="Q619" s="923">
        <v>5</v>
      </c>
      <c r="R619" s="913" t="s">
        <v>724</v>
      </c>
      <c r="S619" s="915">
        <f>'사. 임직원보수 일람표'!F83</f>
        <v>7</v>
      </c>
      <c r="T619" s="916" t="s">
        <v>345</v>
      </c>
      <c r="U619" s="917">
        <f t="shared" si="37"/>
        <v>497000</v>
      </c>
      <c r="Y619" s="544"/>
      <c r="Z619" s="544"/>
      <c r="AA619" s="544"/>
      <c r="AE619" s="1054"/>
    </row>
    <row r="620" spans="1:31" ht="21.75" hidden="1" customHeight="1" x14ac:dyDescent="0.15">
      <c r="A620" s="569"/>
      <c r="B620" s="570"/>
      <c r="C620" s="570"/>
      <c r="D620" s="571"/>
      <c r="E620" s="572"/>
      <c r="F620" s="573"/>
      <c r="G620" s="942"/>
      <c r="H620" s="602"/>
      <c r="I620" s="574"/>
      <c r="J620" s="574"/>
      <c r="K620" s="955"/>
      <c r="L620" s="1217" t="s">
        <v>680</v>
      </c>
      <c r="M620" s="910"/>
      <c r="N620" s="910" t="s">
        <v>1291</v>
      </c>
      <c r="O620" s="911">
        <f>'사. 임직원보수 일람표'!L84</f>
        <v>14610</v>
      </c>
      <c r="P620" s="913" t="s">
        <v>724</v>
      </c>
      <c r="Q620" s="923">
        <v>5</v>
      </c>
      <c r="R620" s="913" t="s">
        <v>724</v>
      </c>
      <c r="S620" s="915">
        <f>'사. 임직원보수 일람표'!F84</f>
        <v>5</v>
      </c>
      <c r="T620" s="916" t="s">
        <v>345</v>
      </c>
      <c r="U620" s="917">
        <f t="shared" si="37"/>
        <v>365250</v>
      </c>
      <c r="Y620" s="544"/>
      <c r="Z620" s="544"/>
      <c r="AA620" s="544"/>
      <c r="AE620" s="1054"/>
    </row>
    <row r="621" spans="1:31" ht="21.75" hidden="1" customHeight="1" x14ac:dyDescent="0.15">
      <c r="A621" s="569"/>
      <c r="B621" s="570"/>
      <c r="C621" s="570"/>
      <c r="D621" s="571"/>
      <c r="E621" s="572"/>
      <c r="F621" s="573"/>
      <c r="G621" s="942"/>
      <c r="H621" s="602"/>
      <c r="I621" s="574"/>
      <c r="J621" s="574"/>
      <c r="K621" s="955"/>
      <c r="L621" s="1217" t="s">
        <v>706</v>
      </c>
      <c r="M621" s="910"/>
      <c r="N621" s="910" t="s">
        <v>707</v>
      </c>
      <c r="O621" s="911">
        <f>'사. 임직원보수 일람표'!L93</f>
        <v>18130</v>
      </c>
      <c r="P621" s="913" t="s">
        <v>724</v>
      </c>
      <c r="Q621" s="923">
        <v>5</v>
      </c>
      <c r="R621" s="913" t="s">
        <v>724</v>
      </c>
      <c r="S621" s="915">
        <v>8</v>
      </c>
      <c r="T621" s="916" t="s">
        <v>345</v>
      </c>
      <c r="U621" s="917">
        <f t="shared" si="37"/>
        <v>725200</v>
      </c>
      <c r="Y621" s="544"/>
      <c r="Z621" s="544"/>
      <c r="AA621" s="544"/>
      <c r="AE621" s="1054"/>
    </row>
    <row r="622" spans="1:31" ht="21.75" hidden="1" customHeight="1" x14ac:dyDescent="0.15">
      <c r="A622" s="569"/>
      <c r="B622" s="570"/>
      <c r="C622" s="570"/>
      <c r="D622" s="571"/>
      <c r="E622" s="572"/>
      <c r="F622" s="573"/>
      <c r="G622" s="942"/>
      <c r="H622" s="602"/>
      <c r="I622" s="574"/>
      <c r="J622" s="574"/>
      <c r="K622" s="955"/>
      <c r="L622" s="1217" t="s">
        <v>706</v>
      </c>
      <c r="M622" s="910"/>
      <c r="N622" s="910" t="s">
        <v>707</v>
      </c>
      <c r="O622" s="911">
        <f>'사. 임직원보수 일람표'!L94</f>
        <v>18440</v>
      </c>
      <c r="P622" s="913" t="s">
        <v>724</v>
      </c>
      <c r="Q622" s="923">
        <v>5</v>
      </c>
      <c r="R622" s="913" t="s">
        <v>724</v>
      </c>
      <c r="S622" s="915">
        <v>4</v>
      </c>
      <c r="T622" s="916" t="s">
        <v>345</v>
      </c>
      <c r="U622" s="917">
        <f t="shared" si="37"/>
        <v>368800</v>
      </c>
      <c r="V622" s="544">
        <f>SUM(U581:U622)</f>
        <v>28020700</v>
      </c>
      <c r="W622" s="544">
        <f>V622-'사. 임직원보수 일람표'!P103</f>
        <v>0</v>
      </c>
      <c r="Y622" s="544"/>
      <c r="Z622" s="544"/>
      <c r="AA622" s="544"/>
      <c r="AE622" s="1054"/>
    </row>
    <row r="623" spans="1:31" ht="21.75" hidden="1" customHeight="1" x14ac:dyDescent="0.15">
      <c r="A623" s="569"/>
      <c r="B623" s="570"/>
      <c r="C623" s="570"/>
      <c r="D623" s="571"/>
      <c r="E623" s="572"/>
      <c r="F623" s="573"/>
      <c r="G623" s="942"/>
      <c r="H623" s="602"/>
      <c r="I623" s="574"/>
      <c r="J623" s="574"/>
      <c r="K623" s="955"/>
      <c r="L623" s="1217" t="s">
        <v>715</v>
      </c>
      <c r="M623" s="912" t="s">
        <v>725</v>
      </c>
      <c r="N623" s="910" t="s">
        <v>1124</v>
      </c>
      <c r="O623" s="911">
        <f>'사. 임직원보수 일람표'!L114</f>
        <v>13810</v>
      </c>
      <c r="P623" s="913" t="s">
        <v>724</v>
      </c>
      <c r="Q623" s="923">
        <v>5</v>
      </c>
      <c r="R623" s="913" t="s">
        <v>724</v>
      </c>
      <c r="S623" s="915">
        <f>'사. 임직원보수 일람표'!F114</f>
        <v>2</v>
      </c>
      <c r="T623" s="916" t="s">
        <v>345</v>
      </c>
      <c r="U623" s="917">
        <f t="shared" si="37"/>
        <v>138100</v>
      </c>
      <c r="Y623" s="544"/>
      <c r="Z623" s="544"/>
      <c r="AA623" s="544"/>
      <c r="AE623" s="1054"/>
    </row>
    <row r="624" spans="1:31" ht="21.75" hidden="1" customHeight="1" x14ac:dyDescent="0.15">
      <c r="A624" s="569"/>
      <c r="B624" s="570"/>
      <c r="C624" s="570"/>
      <c r="D624" s="571"/>
      <c r="E624" s="572"/>
      <c r="F624" s="573"/>
      <c r="G624" s="942"/>
      <c r="H624" s="602"/>
      <c r="I624" s="574"/>
      <c r="J624" s="574"/>
      <c r="K624" s="955"/>
      <c r="L624" s="1217" t="s">
        <v>715</v>
      </c>
      <c r="M624" s="912" t="s">
        <v>725</v>
      </c>
      <c r="N624" s="910" t="s">
        <v>1120</v>
      </c>
      <c r="O624" s="911">
        <f>'사. 임직원보수 일람표'!L115</f>
        <v>13930</v>
      </c>
      <c r="P624" s="913" t="s">
        <v>724</v>
      </c>
      <c r="Q624" s="923">
        <v>5</v>
      </c>
      <c r="R624" s="913" t="s">
        <v>724</v>
      </c>
      <c r="S624" s="915">
        <f>'사. 임직원보수 일람표'!F115</f>
        <v>10</v>
      </c>
      <c r="T624" s="916" t="s">
        <v>345</v>
      </c>
      <c r="U624" s="917">
        <f t="shared" si="37"/>
        <v>696500</v>
      </c>
      <c r="V624" s="544">
        <f>SUM(U623:U624)</f>
        <v>834600</v>
      </c>
      <c r="W624" s="544">
        <f>V624-'사. 임직원보수 일람표'!P116</f>
        <v>0</v>
      </c>
      <c r="Y624" s="544"/>
      <c r="Z624" s="544"/>
      <c r="AA624" s="544"/>
      <c r="AE624" s="1054"/>
    </row>
    <row r="625" spans="1:31" ht="21.75" hidden="1" customHeight="1" x14ac:dyDescent="0.15">
      <c r="A625" s="569"/>
      <c r="B625" s="570"/>
      <c r="C625" s="570"/>
      <c r="D625" s="571"/>
      <c r="E625" s="572"/>
      <c r="F625" s="573"/>
      <c r="G625" s="942"/>
      <c r="H625" s="602"/>
      <c r="I625" s="574"/>
      <c r="J625" s="574"/>
      <c r="K625" s="955"/>
      <c r="L625" s="1217"/>
      <c r="M625" s="912"/>
      <c r="N625" s="910"/>
      <c r="O625" s="911"/>
      <c r="P625" s="913"/>
      <c r="Q625" s="923"/>
      <c r="R625" s="913"/>
      <c r="S625" s="915"/>
      <c r="T625" s="916"/>
      <c r="U625" s="917"/>
      <c r="Y625" s="544"/>
      <c r="Z625" s="544"/>
      <c r="AA625" s="544"/>
      <c r="AE625" s="1054"/>
    </row>
    <row r="626" spans="1:31" ht="21.75" hidden="1" customHeight="1" x14ac:dyDescent="0.15">
      <c r="A626" s="569"/>
      <c r="B626" s="570"/>
      <c r="C626" s="570"/>
      <c r="D626" s="571"/>
      <c r="E626" s="572"/>
      <c r="F626" s="573"/>
      <c r="G626" s="942"/>
      <c r="H626" s="602"/>
      <c r="I626" s="574"/>
      <c r="J626" s="574"/>
      <c r="K626" s="955"/>
      <c r="L626" s="1217"/>
      <c r="M626" s="912"/>
      <c r="N626" s="910"/>
      <c r="O626" s="911"/>
      <c r="P626" s="913"/>
      <c r="Q626" s="923"/>
      <c r="R626" s="913"/>
      <c r="S626" s="915"/>
      <c r="T626" s="916"/>
      <c r="U626" s="917"/>
      <c r="Y626" s="544"/>
      <c r="Z626" s="544"/>
      <c r="AA626" s="544"/>
      <c r="AE626" s="1054"/>
    </row>
    <row r="627" spans="1:31" ht="21.75" customHeight="1" x14ac:dyDescent="0.15">
      <c r="A627" s="569"/>
      <c r="B627" s="570"/>
      <c r="C627" s="570"/>
      <c r="D627" s="571"/>
      <c r="E627" s="572"/>
      <c r="F627" s="573"/>
      <c r="G627" s="942"/>
      <c r="H627" s="602"/>
      <c r="I627" s="574"/>
      <c r="J627" s="574"/>
      <c r="K627" s="955"/>
      <c r="L627" s="1216" t="s">
        <v>734</v>
      </c>
      <c r="M627" s="975"/>
      <c r="N627" s="976"/>
      <c r="O627" s="975"/>
      <c r="P627" s="977"/>
      <c r="Q627" s="975"/>
      <c r="R627" s="978"/>
      <c r="S627" s="975"/>
      <c r="T627" s="975"/>
      <c r="U627" s="979">
        <f>SUM(U628:U639)</f>
        <v>19200000</v>
      </c>
      <c r="AE627" s="1054"/>
    </row>
    <row r="628" spans="1:31" ht="21.75" hidden="1" customHeight="1" x14ac:dyDescent="0.15">
      <c r="A628" s="569"/>
      <c r="B628" s="570"/>
      <c r="C628" s="570"/>
      <c r="D628" s="571"/>
      <c r="E628" s="572"/>
      <c r="F628" s="573"/>
      <c r="G628" s="942"/>
      <c r="H628" s="602"/>
      <c r="I628" s="574"/>
      <c r="J628" s="574"/>
      <c r="K628" s="955"/>
      <c r="L628" s="1217" t="s">
        <v>655</v>
      </c>
      <c r="M628" s="910" t="s">
        <v>655</v>
      </c>
      <c r="N628" s="910" t="s">
        <v>656</v>
      </c>
      <c r="O628" s="924">
        <v>300000</v>
      </c>
      <c r="P628" s="913" t="s">
        <v>724</v>
      </c>
      <c r="Q628" s="914">
        <v>1</v>
      </c>
      <c r="R628" s="913" t="s">
        <v>724</v>
      </c>
      <c r="S628" s="915">
        <v>12</v>
      </c>
      <c r="T628" s="916" t="s">
        <v>345</v>
      </c>
      <c r="U628" s="917">
        <f t="shared" si="37"/>
        <v>3600000</v>
      </c>
      <c r="AE628" s="1054"/>
    </row>
    <row r="629" spans="1:31" ht="21.75" hidden="1" customHeight="1" x14ac:dyDescent="0.15">
      <c r="A629" s="569"/>
      <c r="B629" s="570"/>
      <c r="C629" s="570"/>
      <c r="D629" s="571"/>
      <c r="E629" s="572"/>
      <c r="F629" s="573"/>
      <c r="G629" s="942"/>
      <c r="H629" s="602"/>
      <c r="I629" s="574"/>
      <c r="J629" s="574"/>
      <c r="K629" s="955"/>
      <c r="L629" s="1217" t="s">
        <v>657</v>
      </c>
      <c r="M629" s="910" t="s">
        <v>657</v>
      </c>
      <c r="N629" s="910" t="s">
        <v>658</v>
      </c>
      <c r="O629" s="911">
        <v>200000</v>
      </c>
      <c r="P629" s="913" t="s">
        <v>724</v>
      </c>
      <c r="Q629" s="914">
        <v>1</v>
      </c>
      <c r="R629" s="913" t="s">
        <v>724</v>
      </c>
      <c r="S629" s="915">
        <v>12</v>
      </c>
      <c r="T629" s="916" t="s">
        <v>345</v>
      </c>
      <c r="U629" s="917">
        <f t="shared" si="37"/>
        <v>2400000</v>
      </c>
      <c r="AE629" s="1054"/>
    </row>
    <row r="630" spans="1:31" ht="21.75" hidden="1" customHeight="1" x14ac:dyDescent="0.15">
      <c r="A630" s="569"/>
      <c r="B630" s="570"/>
      <c r="C630" s="570"/>
      <c r="D630" s="571"/>
      <c r="E630" s="572"/>
      <c r="F630" s="573"/>
      <c r="G630" s="942"/>
      <c r="H630" s="602"/>
      <c r="I630" s="574"/>
      <c r="J630" s="574"/>
      <c r="K630" s="955"/>
      <c r="L630" s="1217" t="s">
        <v>659</v>
      </c>
      <c r="M630" s="910" t="s">
        <v>660</v>
      </c>
      <c r="N630" s="910" t="s">
        <v>661</v>
      </c>
      <c r="O630" s="911">
        <v>150000</v>
      </c>
      <c r="P630" s="913" t="s">
        <v>724</v>
      </c>
      <c r="Q630" s="914">
        <v>1</v>
      </c>
      <c r="R630" s="913" t="s">
        <v>724</v>
      </c>
      <c r="S630" s="915">
        <v>12</v>
      </c>
      <c r="T630" s="916" t="s">
        <v>345</v>
      </c>
      <c r="U630" s="917">
        <f t="shared" si="37"/>
        <v>1800000</v>
      </c>
      <c r="AE630" s="1054"/>
    </row>
    <row r="631" spans="1:31" ht="21.75" hidden="1" customHeight="1" x14ac:dyDescent="0.15">
      <c r="A631" s="569"/>
      <c r="B631" s="570"/>
      <c r="C631" s="570"/>
      <c r="D631" s="571"/>
      <c r="E631" s="572"/>
      <c r="F631" s="573"/>
      <c r="G631" s="942"/>
      <c r="H631" s="602"/>
      <c r="I631" s="574"/>
      <c r="J631" s="574"/>
      <c r="K631" s="955"/>
      <c r="L631" s="1217" t="s">
        <v>662</v>
      </c>
      <c r="M631" s="910" t="s">
        <v>663</v>
      </c>
      <c r="N631" s="910" t="s">
        <v>664</v>
      </c>
      <c r="O631" s="911">
        <v>100000</v>
      </c>
      <c r="P631" s="913" t="s">
        <v>724</v>
      </c>
      <c r="Q631" s="914">
        <v>1</v>
      </c>
      <c r="R631" s="913" t="s">
        <v>724</v>
      </c>
      <c r="S631" s="915">
        <v>12</v>
      </c>
      <c r="T631" s="916" t="s">
        <v>345</v>
      </c>
      <c r="U631" s="917">
        <f t="shared" si="37"/>
        <v>1200000</v>
      </c>
      <c r="AE631" s="1054"/>
    </row>
    <row r="632" spans="1:31" ht="21.75" hidden="1" customHeight="1" x14ac:dyDescent="0.15">
      <c r="A632" s="569"/>
      <c r="B632" s="570"/>
      <c r="C632" s="570"/>
      <c r="D632" s="571"/>
      <c r="E632" s="572"/>
      <c r="F632" s="573"/>
      <c r="G632" s="942"/>
      <c r="H632" s="602"/>
      <c r="I632" s="574"/>
      <c r="J632" s="574"/>
      <c r="K632" s="955"/>
      <c r="L632" s="1217" t="s">
        <v>665</v>
      </c>
      <c r="M632" s="910" t="s">
        <v>663</v>
      </c>
      <c r="N632" s="910" t="s">
        <v>666</v>
      </c>
      <c r="O632" s="911">
        <v>100000</v>
      </c>
      <c r="P632" s="913" t="s">
        <v>724</v>
      </c>
      <c r="Q632" s="914">
        <v>1</v>
      </c>
      <c r="R632" s="913" t="s">
        <v>724</v>
      </c>
      <c r="S632" s="915">
        <v>12</v>
      </c>
      <c r="T632" s="916" t="s">
        <v>345</v>
      </c>
      <c r="U632" s="917">
        <f t="shared" si="37"/>
        <v>1200000</v>
      </c>
      <c r="AE632" s="1054"/>
    </row>
    <row r="633" spans="1:31" ht="21.75" hidden="1" customHeight="1" x14ac:dyDescent="0.15">
      <c r="A633" s="569"/>
      <c r="B633" s="570"/>
      <c r="C633" s="570"/>
      <c r="D633" s="571"/>
      <c r="E633" s="572"/>
      <c r="F633" s="573"/>
      <c r="G633" s="942"/>
      <c r="H633" s="602"/>
      <c r="I633" s="574"/>
      <c r="J633" s="574"/>
      <c r="K633" s="955"/>
      <c r="L633" s="1217" t="s">
        <v>667</v>
      </c>
      <c r="M633" s="910" t="s">
        <v>663</v>
      </c>
      <c r="N633" s="910" t="s">
        <v>1263</v>
      </c>
      <c r="O633" s="911">
        <v>100000</v>
      </c>
      <c r="P633" s="913" t="s">
        <v>724</v>
      </c>
      <c r="Q633" s="914">
        <v>1</v>
      </c>
      <c r="R633" s="913" t="s">
        <v>724</v>
      </c>
      <c r="S633" s="915">
        <v>12</v>
      </c>
      <c r="T633" s="916" t="s">
        <v>345</v>
      </c>
      <c r="U633" s="917">
        <f t="shared" si="37"/>
        <v>1200000</v>
      </c>
      <c r="AE633" s="1054"/>
    </row>
    <row r="634" spans="1:31" ht="21.75" hidden="1" customHeight="1" x14ac:dyDescent="0.15">
      <c r="A634" s="569"/>
      <c r="B634" s="570"/>
      <c r="C634" s="570"/>
      <c r="D634" s="571"/>
      <c r="E634" s="572"/>
      <c r="F634" s="573"/>
      <c r="G634" s="942"/>
      <c r="H634" s="602"/>
      <c r="I634" s="574"/>
      <c r="J634" s="574"/>
      <c r="K634" s="955"/>
      <c r="L634" s="1217" t="s">
        <v>675</v>
      </c>
      <c r="M634" s="910" t="s">
        <v>660</v>
      </c>
      <c r="N634" s="910" t="s">
        <v>676</v>
      </c>
      <c r="O634" s="911">
        <v>150000</v>
      </c>
      <c r="P634" s="913" t="s">
        <v>724</v>
      </c>
      <c r="Q634" s="914">
        <v>1</v>
      </c>
      <c r="R634" s="913" t="s">
        <v>724</v>
      </c>
      <c r="S634" s="915">
        <v>12</v>
      </c>
      <c r="T634" s="916" t="s">
        <v>345</v>
      </c>
      <c r="U634" s="917">
        <f t="shared" si="37"/>
        <v>1800000</v>
      </c>
      <c r="AE634" s="1054"/>
    </row>
    <row r="635" spans="1:31" ht="21.75" hidden="1" customHeight="1" x14ac:dyDescent="0.15">
      <c r="A635" s="569"/>
      <c r="B635" s="570"/>
      <c r="C635" s="570"/>
      <c r="D635" s="571"/>
      <c r="E635" s="572"/>
      <c r="F635" s="573"/>
      <c r="G635" s="942"/>
      <c r="H635" s="602"/>
      <c r="I635" s="574"/>
      <c r="J635" s="574"/>
      <c r="K635" s="955"/>
      <c r="L635" s="1217" t="s">
        <v>665</v>
      </c>
      <c r="M635" s="910" t="s">
        <v>663</v>
      </c>
      <c r="N635" s="910" t="s">
        <v>677</v>
      </c>
      <c r="O635" s="911">
        <v>100000</v>
      </c>
      <c r="P635" s="913" t="s">
        <v>724</v>
      </c>
      <c r="Q635" s="914">
        <v>1</v>
      </c>
      <c r="R635" s="913" t="s">
        <v>724</v>
      </c>
      <c r="S635" s="915">
        <v>12</v>
      </c>
      <c r="T635" s="916" t="s">
        <v>345</v>
      </c>
      <c r="U635" s="917">
        <f t="shared" si="37"/>
        <v>1200000</v>
      </c>
      <c r="AE635" s="1054"/>
    </row>
    <row r="636" spans="1:31" ht="21.75" hidden="1" customHeight="1" x14ac:dyDescent="0.15">
      <c r="A636" s="569"/>
      <c r="B636" s="570"/>
      <c r="C636" s="570"/>
      <c r="D636" s="571"/>
      <c r="E636" s="572"/>
      <c r="F636" s="573"/>
      <c r="G636" s="942"/>
      <c r="H636" s="602"/>
      <c r="I636" s="574"/>
      <c r="J636" s="574"/>
      <c r="K636" s="955"/>
      <c r="L636" s="1217" t="s">
        <v>680</v>
      </c>
      <c r="M636" s="910" t="s">
        <v>663</v>
      </c>
      <c r="N636" s="910" t="s">
        <v>681</v>
      </c>
      <c r="O636" s="911">
        <v>100000</v>
      </c>
      <c r="P636" s="913" t="s">
        <v>724</v>
      </c>
      <c r="Q636" s="914">
        <v>1</v>
      </c>
      <c r="R636" s="913" t="s">
        <v>724</v>
      </c>
      <c r="S636" s="915">
        <v>12</v>
      </c>
      <c r="T636" s="916" t="s">
        <v>345</v>
      </c>
      <c r="U636" s="917">
        <f t="shared" si="37"/>
        <v>1200000</v>
      </c>
      <c r="AE636" s="1054"/>
    </row>
    <row r="637" spans="1:31" ht="21.75" hidden="1" customHeight="1" x14ac:dyDescent="0.15">
      <c r="A637" s="569"/>
      <c r="B637" s="570"/>
      <c r="C637" s="570"/>
      <c r="D637" s="571"/>
      <c r="E637" s="572"/>
      <c r="F637" s="573"/>
      <c r="G637" s="942"/>
      <c r="H637" s="602"/>
      <c r="I637" s="574"/>
      <c r="J637" s="574"/>
      <c r="K637" s="955"/>
      <c r="L637" s="1217" t="s">
        <v>680</v>
      </c>
      <c r="M637" s="910" t="s">
        <v>663</v>
      </c>
      <c r="N637" s="910" t="s">
        <v>685</v>
      </c>
      <c r="O637" s="911">
        <v>100000</v>
      </c>
      <c r="P637" s="913" t="s">
        <v>724</v>
      </c>
      <c r="Q637" s="914">
        <v>1</v>
      </c>
      <c r="R637" s="913" t="s">
        <v>724</v>
      </c>
      <c r="S637" s="915">
        <v>12</v>
      </c>
      <c r="T637" s="916" t="s">
        <v>345</v>
      </c>
      <c r="U637" s="917">
        <f t="shared" si="37"/>
        <v>1200000</v>
      </c>
      <c r="AE637" s="1054"/>
    </row>
    <row r="638" spans="1:31" ht="21.75" hidden="1" customHeight="1" x14ac:dyDescent="0.15">
      <c r="A638" s="569"/>
      <c r="B638" s="570"/>
      <c r="C638" s="570"/>
      <c r="D638" s="571"/>
      <c r="E638" s="572"/>
      <c r="F638" s="573"/>
      <c r="G638" s="942"/>
      <c r="H638" s="602"/>
      <c r="I638" s="574"/>
      <c r="J638" s="574"/>
      <c r="K638" s="955"/>
      <c r="L638" s="1217" t="s">
        <v>680</v>
      </c>
      <c r="M638" s="910" t="s">
        <v>663</v>
      </c>
      <c r="N638" s="910" t="s">
        <v>686</v>
      </c>
      <c r="O638" s="911">
        <v>100000</v>
      </c>
      <c r="P638" s="913" t="s">
        <v>724</v>
      </c>
      <c r="Q638" s="914">
        <v>1</v>
      </c>
      <c r="R638" s="913" t="s">
        <v>724</v>
      </c>
      <c r="S638" s="915">
        <v>12</v>
      </c>
      <c r="T638" s="916" t="s">
        <v>345</v>
      </c>
      <c r="U638" s="917">
        <f t="shared" si="37"/>
        <v>1200000</v>
      </c>
      <c r="AE638" s="1054"/>
    </row>
    <row r="639" spans="1:31" ht="21.75" hidden="1" customHeight="1" x14ac:dyDescent="0.15">
      <c r="A639" s="569"/>
      <c r="B639" s="570"/>
      <c r="C639" s="570"/>
      <c r="D639" s="571"/>
      <c r="E639" s="572"/>
      <c r="F639" s="573"/>
      <c r="G639" s="942"/>
      <c r="H639" s="602"/>
      <c r="I639" s="574"/>
      <c r="J639" s="574"/>
      <c r="K639" s="955"/>
      <c r="L639" s="1217" t="s">
        <v>680</v>
      </c>
      <c r="M639" s="910" t="s">
        <v>663</v>
      </c>
      <c r="N639" s="910" t="s">
        <v>687</v>
      </c>
      <c r="O639" s="911">
        <v>100000</v>
      </c>
      <c r="P639" s="913" t="s">
        <v>724</v>
      </c>
      <c r="Q639" s="914">
        <v>1</v>
      </c>
      <c r="R639" s="913" t="s">
        <v>724</v>
      </c>
      <c r="S639" s="915">
        <v>12</v>
      </c>
      <c r="T639" s="916" t="s">
        <v>345</v>
      </c>
      <c r="U639" s="917">
        <f t="shared" si="37"/>
        <v>1200000</v>
      </c>
      <c r="AE639" s="1054"/>
    </row>
    <row r="640" spans="1:31" ht="21.75" customHeight="1" x14ac:dyDescent="0.15">
      <c r="A640" s="569"/>
      <c r="B640" s="570"/>
      <c r="C640" s="570"/>
      <c r="D640" s="571"/>
      <c r="E640" s="572"/>
      <c r="F640" s="573"/>
      <c r="G640" s="942"/>
      <c r="H640" s="602"/>
      <c r="I640" s="574"/>
      <c r="J640" s="574"/>
      <c r="K640" s="955"/>
      <c r="L640" s="1216" t="s">
        <v>996</v>
      </c>
      <c r="M640" s="975"/>
      <c r="N640" s="976"/>
      <c r="O640" s="975"/>
      <c r="P640" s="977"/>
      <c r="Q640" s="975"/>
      <c r="R640" s="978"/>
      <c r="S640" s="975"/>
      <c r="T640" s="975"/>
      <c r="U640" s="979">
        <f>SUM(U641:U644)</f>
        <v>9600000</v>
      </c>
      <c r="AE640" s="1054"/>
    </row>
    <row r="641" spans="1:33" ht="21.75" hidden="1" customHeight="1" x14ac:dyDescent="0.15">
      <c r="A641" s="569"/>
      <c r="B641" s="570"/>
      <c r="C641" s="570"/>
      <c r="D641" s="571"/>
      <c r="E641" s="572"/>
      <c r="F641" s="573"/>
      <c r="G641" s="942"/>
      <c r="H641" s="602"/>
      <c r="I641" s="574"/>
      <c r="J641" s="574"/>
      <c r="K641" s="955"/>
      <c r="L641" s="910" t="s">
        <v>680</v>
      </c>
      <c r="M641" s="910" t="s">
        <v>663</v>
      </c>
      <c r="N641" s="910" t="s">
        <v>681</v>
      </c>
      <c r="O641" s="911">
        <v>200000</v>
      </c>
      <c r="P641" s="913" t="s">
        <v>724</v>
      </c>
      <c r="Q641" s="914">
        <v>1</v>
      </c>
      <c r="R641" s="913" t="s">
        <v>724</v>
      </c>
      <c r="S641" s="915">
        <v>12</v>
      </c>
      <c r="T641" s="916" t="s">
        <v>345</v>
      </c>
      <c r="U641" s="917">
        <f t="shared" ref="U641:U644" si="38">O641*Q641*S641</f>
        <v>2400000</v>
      </c>
      <c r="AE641" s="1054"/>
    </row>
    <row r="642" spans="1:33" ht="21.75" hidden="1" customHeight="1" x14ac:dyDescent="0.15">
      <c r="A642" s="569"/>
      <c r="B642" s="570"/>
      <c r="C642" s="570"/>
      <c r="D642" s="571"/>
      <c r="E642" s="572"/>
      <c r="F642" s="573"/>
      <c r="G642" s="942"/>
      <c r="H642" s="602"/>
      <c r="I642" s="574"/>
      <c r="J642" s="574"/>
      <c r="K642" s="955"/>
      <c r="L642" s="910" t="s">
        <v>680</v>
      </c>
      <c r="M642" s="910" t="s">
        <v>663</v>
      </c>
      <c r="N642" s="910" t="s">
        <v>685</v>
      </c>
      <c r="O642" s="911">
        <v>200000</v>
      </c>
      <c r="P642" s="913" t="s">
        <v>724</v>
      </c>
      <c r="Q642" s="914">
        <v>1</v>
      </c>
      <c r="R642" s="913" t="s">
        <v>724</v>
      </c>
      <c r="S642" s="915">
        <v>12</v>
      </c>
      <c r="T642" s="916" t="s">
        <v>345</v>
      </c>
      <c r="U642" s="917">
        <f t="shared" si="38"/>
        <v>2400000</v>
      </c>
      <c r="AE642" s="1054"/>
    </row>
    <row r="643" spans="1:33" ht="21.75" hidden="1" customHeight="1" x14ac:dyDescent="0.15">
      <c r="A643" s="569"/>
      <c r="B643" s="570"/>
      <c r="C643" s="570"/>
      <c r="D643" s="571"/>
      <c r="E643" s="572"/>
      <c r="F643" s="573"/>
      <c r="G643" s="942"/>
      <c r="H643" s="602"/>
      <c r="I643" s="574"/>
      <c r="J643" s="574"/>
      <c r="K643" s="955"/>
      <c r="L643" s="910" t="s">
        <v>680</v>
      </c>
      <c r="M643" s="910" t="s">
        <v>663</v>
      </c>
      <c r="N643" s="910" t="s">
        <v>686</v>
      </c>
      <c r="O643" s="911">
        <v>200000</v>
      </c>
      <c r="P643" s="913" t="s">
        <v>724</v>
      </c>
      <c r="Q643" s="914">
        <v>1</v>
      </c>
      <c r="R643" s="913" t="s">
        <v>724</v>
      </c>
      <c r="S643" s="915">
        <v>12</v>
      </c>
      <c r="T643" s="916" t="s">
        <v>345</v>
      </c>
      <c r="U643" s="917">
        <f t="shared" si="38"/>
        <v>2400000</v>
      </c>
      <c r="AE643" s="1054"/>
    </row>
    <row r="644" spans="1:33" ht="21.75" hidden="1" customHeight="1" x14ac:dyDescent="0.15">
      <c r="A644" s="569"/>
      <c r="B644" s="570"/>
      <c r="C644" s="570"/>
      <c r="D644" s="571"/>
      <c r="E644" s="572"/>
      <c r="F644" s="573"/>
      <c r="G644" s="942"/>
      <c r="H644" s="602"/>
      <c r="I644" s="574"/>
      <c r="J644" s="574"/>
      <c r="K644" s="955"/>
      <c r="L644" s="910" t="s">
        <v>680</v>
      </c>
      <c r="M644" s="910" t="s">
        <v>663</v>
      </c>
      <c r="N644" s="910" t="s">
        <v>687</v>
      </c>
      <c r="O644" s="911">
        <v>200000</v>
      </c>
      <c r="P644" s="913" t="s">
        <v>724</v>
      </c>
      <c r="Q644" s="914">
        <v>1</v>
      </c>
      <c r="R644" s="913" t="s">
        <v>724</v>
      </c>
      <c r="S644" s="915">
        <v>12</v>
      </c>
      <c r="T644" s="916" t="s">
        <v>345</v>
      </c>
      <c r="U644" s="917">
        <f t="shared" si="38"/>
        <v>2400000</v>
      </c>
      <c r="AE644" s="1054"/>
    </row>
    <row r="645" spans="1:33" ht="21.75" customHeight="1" x14ac:dyDescent="0.15">
      <c r="A645" s="569"/>
      <c r="B645" s="570"/>
      <c r="C645" s="961" t="s">
        <v>111</v>
      </c>
      <c r="D645" s="962">
        <v>228301750</v>
      </c>
      <c r="E645" s="963">
        <f>SUM(H645:K645)</f>
        <v>233124920</v>
      </c>
      <c r="F645" s="963">
        <f>E645-D645</f>
        <v>4823170</v>
      </c>
      <c r="G645" s="964">
        <f>F645/D645*100</f>
        <v>2.1126294476498759</v>
      </c>
      <c r="H645" s="965">
        <f>'사. 임직원보수 일람표'!S103+'사. 임직원보수 일람표'!S116+'사. 임직원보수 일람표'!S149+'사. 임직원보수 일람표'!S161</f>
        <v>228074920</v>
      </c>
      <c r="I645" s="966">
        <f>U647</f>
        <v>1600000</v>
      </c>
      <c r="J645" s="966">
        <v>0</v>
      </c>
      <c r="K645" s="967">
        <f>'사. 임직원보수 일람표'!S209</f>
        <v>3450000</v>
      </c>
      <c r="L645" s="968" t="s">
        <v>748</v>
      </c>
      <c r="M645" s="969"/>
      <c r="N645" s="970"/>
      <c r="O645" s="969"/>
      <c r="P645" s="971"/>
      <c r="Q645" s="969"/>
      <c r="R645" s="972"/>
      <c r="S645" s="969"/>
      <c r="T645" s="969"/>
      <c r="U645" s="1008">
        <f>E645</f>
        <v>233124920</v>
      </c>
      <c r="V645" s="544">
        <f>U646+U647+U648</f>
        <v>233124920</v>
      </c>
      <c r="W645" s="544">
        <f>U645-V645</f>
        <v>0</v>
      </c>
      <c r="AC645" s="1214">
        <f>K645</f>
        <v>3450000</v>
      </c>
      <c r="AE645" s="1054"/>
    </row>
    <row r="646" spans="1:33" ht="21.75" customHeight="1" x14ac:dyDescent="0.15">
      <c r="A646" s="569"/>
      <c r="B646" s="570"/>
      <c r="C646" s="570"/>
      <c r="D646" s="571"/>
      <c r="E646" s="572"/>
      <c r="F646" s="573"/>
      <c r="G646" s="942"/>
      <c r="H646" s="602"/>
      <c r="I646" s="574"/>
      <c r="J646" s="574"/>
      <c r="K646" s="955"/>
      <c r="L646" s="946"/>
      <c r="M646" s="577"/>
      <c r="N646" s="576" t="s">
        <v>737</v>
      </c>
      <c r="O646" s="1398">
        <f>U10+U148+U274+U319+U451+U580-U107-U142-U143</f>
        <v>2736894660</v>
      </c>
      <c r="P646" s="1399"/>
      <c r="Q646" s="1399"/>
      <c r="R646" s="913" t="s">
        <v>724</v>
      </c>
      <c r="S646" s="925" t="s">
        <v>739</v>
      </c>
      <c r="T646" s="916" t="s">
        <v>345</v>
      </c>
      <c r="U646" s="931">
        <f>ROUNDUP(O646*1/12,-1)+360</f>
        <v>228074920</v>
      </c>
      <c r="AE646" s="1054"/>
      <c r="AF646" s="919"/>
      <c r="AG646" s="919"/>
    </row>
    <row r="647" spans="1:33" ht="21.75" customHeight="1" x14ac:dyDescent="0.15">
      <c r="A647" s="569"/>
      <c r="B647" s="570"/>
      <c r="C647" s="570"/>
      <c r="D647" s="571"/>
      <c r="E647" s="572"/>
      <c r="F647" s="573"/>
      <c r="G647" s="942"/>
      <c r="H647" s="602"/>
      <c r="I647" s="574"/>
      <c r="J647" s="574"/>
      <c r="K647" s="955"/>
      <c r="L647" s="946"/>
      <c r="M647" s="577"/>
      <c r="N647" s="576" t="s">
        <v>738</v>
      </c>
      <c r="O647" s="1398">
        <f>U627</f>
        <v>19200000</v>
      </c>
      <c r="P647" s="1399"/>
      <c r="Q647" s="1399"/>
      <c r="R647" s="913" t="s">
        <v>724</v>
      </c>
      <c r="S647" s="925" t="s">
        <v>739</v>
      </c>
      <c r="T647" s="916" t="s">
        <v>345</v>
      </c>
      <c r="U647" s="931">
        <f>ROUNDUP(O647*1/12,-1)</f>
        <v>1600000</v>
      </c>
      <c r="AE647" s="1054"/>
      <c r="AF647" s="919"/>
      <c r="AG647" s="919"/>
    </row>
    <row r="648" spans="1:33" ht="21.75" customHeight="1" x14ac:dyDescent="0.15">
      <c r="A648" s="569"/>
      <c r="B648" s="570"/>
      <c r="C648" s="570"/>
      <c r="D648" s="571"/>
      <c r="E648" s="572"/>
      <c r="F648" s="573"/>
      <c r="G648" s="942"/>
      <c r="H648" s="602"/>
      <c r="I648" s="574"/>
      <c r="J648" s="574"/>
      <c r="K648" s="955"/>
      <c r="L648" s="946"/>
      <c r="M648" s="577"/>
      <c r="N648" s="576" t="s">
        <v>98</v>
      </c>
      <c r="O648" s="1398">
        <f>U142+U143+U640</f>
        <v>41400000</v>
      </c>
      <c r="P648" s="1399"/>
      <c r="Q648" s="1399"/>
      <c r="R648" s="913" t="s">
        <v>724</v>
      </c>
      <c r="S648" s="925" t="s">
        <v>739</v>
      </c>
      <c r="T648" s="916" t="s">
        <v>345</v>
      </c>
      <c r="U648" s="931">
        <f>ROUNDUP(O648*1/12,-1)</f>
        <v>3450000</v>
      </c>
      <c r="AE648" s="1054"/>
      <c r="AF648" s="919"/>
      <c r="AG648" s="919"/>
    </row>
    <row r="649" spans="1:33" ht="21.75" customHeight="1" x14ac:dyDescent="0.15">
      <c r="A649" s="569"/>
      <c r="B649" s="570"/>
      <c r="C649" s="961" t="s">
        <v>112</v>
      </c>
      <c r="D649" s="962">
        <v>276089990</v>
      </c>
      <c r="E649" s="963">
        <f>SUM(H649:K649)</f>
        <v>284041010</v>
      </c>
      <c r="F649" s="963">
        <f>E649-D649</f>
        <v>7951020</v>
      </c>
      <c r="G649" s="964">
        <f>F649/D649*100</f>
        <v>2.8798653656367619</v>
      </c>
      <c r="H649" s="965">
        <f>'사. 임직원보수 일람표'!Y103+'사. 임직원보수 일람표'!Y116+'사. 임직원보수 일람표'!Y149+'사. 임직원보수 일람표'!Y161</f>
        <v>279159010</v>
      </c>
      <c r="I649" s="966">
        <f>'사. 임직원보수 일람표'!Y191</f>
        <v>1758450</v>
      </c>
      <c r="J649" s="966">
        <v>0</v>
      </c>
      <c r="K649" s="967">
        <f>'사. 임직원보수 일람표'!Y209</f>
        <v>3123550</v>
      </c>
      <c r="L649" s="968" t="s">
        <v>749</v>
      </c>
      <c r="M649" s="973"/>
      <c r="N649" s="970">
        <f>ROUNDUP(E649/64/12,-1)</f>
        <v>369850</v>
      </c>
      <c r="O649" s="969" t="s">
        <v>137</v>
      </c>
      <c r="P649" s="971">
        <v>12</v>
      </c>
      <c r="Q649" s="969" t="s">
        <v>137</v>
      </c>
      <c r="R649" s="972">
        <v>64</v>
      </c>
      <c r="S649" s="969" t="s">
        <v>615</v>
      </c>
      <c r="T649" s="969"/>
      <c r="U649" s="1008">
        <f>E649</f>
        <v>284041010</v>
      </c>
      <c r="V649" s="544">
        <f>SUM(U650:U664)</f>
        <v>284041010</v>
      </c>
      <c r="W649" s="544">
        <f>U649-V649</f>
        <v>0</v>
      </c>
      <c r="AC649" s="1214">
        <f>K649</f>
        <v>3123550</v>
      </c>
      <c r="AE649" s="1054"/>
    </row>
    <row r="650" spans="1:33" ht="21.75" customHeight="1" x14ac:dyDescent="0.15">
      <c r="A650" s="569"/>
      <c r="B650" s="570"/>
      <c r="C650" s="570"/>
      <c r="D650" s="571"/>
      <c r="E650" s="572"/>
      <c r="F650" s="573"/>
      <c r="G650" s="942"/>
      <c r="H650" s="602"/>
      <c r="I650" s="574"/>
      <c r="J650" s="574"/>
      <c r="K650" s="955"/>
      <c r="L650" s="946" t="s">
        <v>737</v>
      </c>
      <c r="M650" s="578" t="s">
        <v>740</v>
      </c>
      <c r="N650" s="576"/>
      <c r="O650" s="1398">
        <f>U10+U148+U274+U319+U451+U580-U11-U12-U107-U142-U143-U149-U150-U320-U321-U581-U582</f>
        <v>2672538710</v>
      </c>
      <c r="P650" s="1398"/>
      <c r="Q650" s="1398"/>
      <c r="R650" s="926" t="s">
        <v>724</v>
      </c>
      <c r="S650" s="927">
        <v>4.4999999999999998E-2</v>
      </c>
      <c r="T650" s="916" t="s">
        <v>345</v>
      </c>
      <c r="U650" s="931">
        <f>ROUNDUP(O650*S650,-1)-30</f>
        <v>120264220</v>
      </c>
      <c r="V650" s="544">
        <f>'사. 임직원보수 일람표'!T103+'사. 임직원보수 일람표'!T116+'사. 임직원보수 일람표'!T149+'사. 임직원보수 일람표'!T161</f>
        <v>120264220</v>
      </c>
      <c r="W650" s="544">
        <f>U650-V650</f>
        <v>0</v>
      </c>
      <c r="AE650" s="1054"/>
    </row>
    <row r="651" spans="1:33" ht="21.75" customHeight="1" x14ac:dyDescent="0.15">
      <c r="A651" s="569"/>
      <c r="B651" s="570"/>
      <c r="C651" s="570"/>
      <c r="D651" s="571"/>
      <c r="E651" s="572"/>
      <c r="F651" s="573"/>
      <c r="G651" s="942"/>
      <c r="H651" s="602"/>
      <c r="I651" s="574"/>
      <c r="J651" s="574"/>
      <c r="K651" s="955"/>
      <c r="L651" s="946"/>
      <c r="M651" s="578" t="s">
        <v>741</v>
      </c>
      <c r="N651" s="576"/>
      <c r="O651" s="1398">
        <f>U10-U107-U142-U143+U148+U274+U319+U451+U580</f>
        <v>2736894660</v>
      </c>
      <c r="P651" s="1398"/>
      <c r="Q651" s="1398"/>
      <c r="R651" s="926" t="s">
        <v>724</v>
      </c>
      <c r="S651" s="928">
        <v>3.5450000000000002E-2</v>
      </c>
      <c r="T651" s="916" t="s">
        <v>345</v>
      </c>
      <c r="U651" s="931">
        <f>ROUNDUP(O651*S651,-1)+600</f>
        <v>97023520</v>
      </c>
      <c r="V651" s="544">
        <f>'사. 임직원보수 일람표'!U103+'사. 임직원보수 일람표'!U116+'사. 임직원보수 일람표'!U149+'사. 임직원보수 일람표'!U161</f>
        <v>97023520</v>
      </c>
      <c r="W651" s="544">
        <f>U651-V651</f>
        <v>0</v>
      </c>
      <c r="AE651" s="1054"/>
    </row>
    <row r="652" spans="1:33" ht="21.75" customHeight="1" x14ac:dyDescent="0.15">
      <c r="A652" s="569"/>
      <c r="B652" s="570"/>
      <c r="C652" s="570"/>
      <c r="D652" s="571"/>
      <c r="E652" s="572"/>
      <c r="F652" s="573"/>
      <c r="G652" s="942"/>
      <c r="H652" s="602"/>
      <c r="I652" s="574"/>
      <c r="J652" s="574"/>
      <c r="K652" s="955"/>
      <c r="L652" s="946"/>
      <c r="M652" s="578" t="s">
        <v>742</v>
      </c>
      <c r="N652" s="576"/>
      <c r="O652" s="1398">
        <f>U651</f>
        <v>97023520</v>
      </c>
      <c r="P652" s="1398"/>
      <c r="Q652" s="1398"/>
      <c r="R652" s="926" t="s">
        <v>724</v>
      </c>
      <c r="S652" s="927">
        <v>0.12809999999999999</v>
      </c>
      <c r="T652" s="916" t="s">
        <v>345</v>
      </c>
      <c r="U652" s="931">
        <f>ROUNDUP(O652*S652,-1)+570</f>
        <v>12429290</v>
      </c>
      <c r="V652" s="544">
        <f>'사. 임직원보수 일람표'!V103+'사. 임직원보수 일람표'!V116+'사. 임직원보수 일람표'!V149+'사. 임직원보수 일람표'!V161</f>
        <v>12429290</v>
      </c>
      <c r="W652" s="544">
        <f t="shared" ref="W652:W664" si="39">U652-V652</f>
        <v>0</v>
      </c>
      <c r="AE652" s="1054"/>
    </row>
    <row r="653" spans="1:33" ht="21.75" customHeight="1" x14ac:dyDescent="0.15">
      <c r="A653" s="569"/>
      <c r="B653" s="570"/>
      <c r="C653" s="570"/>
      <c r="D653" s="571"/>
      <c r="E653" s="572"/>
      <c r="F653" s="573"/>
      <c r="G653" s="942"/>
      <c r="H653" s="602"/>
      <c r="I653" s="574"/>
      <c r="J653" s="574"/>
      <c r="K653" s="955"/>
      <c r="L653" s="946"/>
      <c r="M653" s="578" t="s">
        <v>744</v>
      </c>
      <c r="N653" s="576"/>
      <c r="O653" s="1398">
        <f>O650</f>
        <v>2672538710</v>
      </c>
      <c r="P653" s="1398"/>
      <c r="Q653" s="1398"/>
      <c r="R653" s="926" t="s">
        <v>724</v>
      </c>
      <c r="S653" s="927">
        <v>1.0500000000000001E-2</v>
      </c>
      <c r="T653" s="916" t="s">
        <v>345</v>
      </c>
      <c r="U653" s="931">
        <f>ROUNDUP(O653*S653,-1)+10</f>
        <v>28061670</v>
      </c>
      <c r="V653" s="544">
        <f>'사. 임직원보수 일람표'!W103+'사. 임직원보수 일람표'!W116+'사. 임직원보수 일람표'!W149+'사. 임직원보수 일람표'!W161</f>
        <v>28061670</v>
      </c>
      <c r="W653" s="544">
        <f t="shared" si="39"/>
        <v>0</v>
      </c>
      <c r="AE653" s="1054"/>
    </row>
    <row r="654" spans="1:33" ht="21.75" customHeight="1" x14ac:dyDescent="0.15">
      <c r="A654" s="569"/>
      <c r="B654" s="570"/>
      <c r="C654" s="570"/>
      <c r="D654" s="571"/>
      <c r="E654" s="572"/>
      <c r="F654" s="573"/>
      <c r="G654" s="942"/>
      <c r="H654" s="602"/>
      <c r="I654" s="574"/>
      <c r="J654" s="574"/>
      <c r="K654" s="955"/>
      <c r="L654" s="946"/>
      <c r="M654" s="578" t="s">
        <v>743</v>
      </c>
      <c r="N654" s="576"/>
      <c r="O654" s="1398">
        <f>O653</f>
        <v>2672538710</v>
      </c>
      <c r="P654" s="1398"/>
      <c r="Q654" s="1398"/>
      <c r="R654" s="926" t="s">
        <v>724</v>
      </c>
      <c r="S654" s="927">
        <v>8.0000000000000002E-3</v>
      </c>
      <c r="T654" s="916" t="s">
        <v>345</v>
      </c>
      <c r="U654" s="931">
        <f t="shared" ref="U654:U656" si="40">ROUNDUP(O654*S654,-1)</f>
        <v>21380310</v>
      </c>
      <c r="V654" s="544">
        <f>'사. 임직원보수 일람표'!X103+'사. 임직원보수 일람표'!X116+'사. 임직원보수 일람표'!X149+'사. 임직원보수 일람표'!X161</f>
        <v>21380310</v>
      </c>
      <c r="W654" s="544">
        <f t="shared" si="39"/>
        <v>0</v>
      </c>
      <c r="AE654" s="1054"/>
    </row>
    <row r="655" spans="1:33" ht="21.75" customHeight="1" x14ac:dyDescent="0.15">
      <c r="A655" s="569"/>
      <c r="B655" s="570"/>
      <c r="C655" s="570"/>
      <c r="D655" s="571"/>
      <c r="E655" s="572"/>
      <c r="F655" s="573"/>
      <c r="G655" s="942"/>
      <c r="H655" s="602"/>
      <c r="I655" s="574"/>
      <c r="J655" s="574"/>
      <c r="K655" s="955"/>
      <c r="L655" s="946" t="s">
        <v>738</v>
      </c>
      <c r="M655" s="578" t="s">
        <v>740</v>
      </c>
      <c r="N655" s="576"/>
      <c r="O655" s="1398">
        <f>U627-U628</f>
        <v>15600000</v>
      </c>
      <c r="P655" s="1399"/>
      <c r="Q655" s="1399"/>
      <c r="R655" s="926" t="s">
        <v>724</v>
      </c>
      <c r="S655" s="927">
        <v>4.4999999999999998E-2</v>
      </c>
      <c r="T655" s="916" t="s">
        <v>345</v>
      </c>
      <c r="U655" s="931">
        <f t="shared" si="40"/>
        <v>702000</v>
      </c>
      <c r="V655" s="544">
        <f>'사. 임직원보수 일람표'!T191</f>
        <v>702000</v>
      </c>
      <c r="W655" s="544">
        <f>U655-V655</f>
        <v>0</v>
      </c>
      <c r="AE655" s="1054"/>
    </row>
    <row r="656" spans="1:33" ht="21.75" customHeight="1" x14ac:dyDescent="0.15">
      <c r="A656" s="569"/>
      <c r="B656" s="570"/>
      <c r="C656" s="570"/>
      <c r="D656" s="571"/>
      <c r="E656" s="572"/>
      <c r="F656" s="573"/>
      <c r="G656" s="942"/>
      <c r="H656" s="602"/>
      <c r="I656" s="574"/>
      <c r="J656" s="574"/>
      <c r="K656" s="955"/>
      <c r="L656" s="946"/>
      <c r="M656" s="578" t="s">
        <v>741</v>
      </c>
      <c r="N656" s="576"/>
      <c r="O656" s="1398">
        <f>U627</f>
        <v>19200000</v>
      </c>
      <c r="P656" s="1399"/>
      <c r="Q656" s="1399"/>
      <c r="R656" s="926" t="s">
        <v>724</v>
      </c>
      <c r="S656" s="928">
        <v>3.5450000000000002E-2</v>
      </c>
      <c r="T656" s="916" t="s">
        <v>345</v>
      </c>
      <c r="U656" s="931">
        <f t="shared" si="40"/>
        <v>680640</v>
      </c>
      <c r="V656" s="544">
        <f>'사. 임직원보수 일람표'!U191</f>
        <v>680640</v>
      </c>
      <c r="W656" s="544">
        <f t="shared" si="39"/>
        <v>0</v>
      </c>
      <c r="AE656" s="1054"/>
    </row>
    <row r="657" spans="1:31" ht="21.75" customHeight="1" x14ac:dyDescent="0.15">
      <c r="A657" s="569"/>
      <c r="B657" s="570"/>
      <c r="C657" s="570"/>
      <c r="D657" s="571"/>
      <c r="E657" s="572"/>
      <c r="F657" s="573"/>
      <c r="G657" s="942"/>
      <c r="H657" s="602"/>
      <c r="I657" s="574"/>
      <c r="J657" s="574"/>
      <c r="K657" s="955"/>
      <c r="L657" s="946"/>
      <c r="M657" s="578" t="s">
        <v>742</v>
      </c>
      <c r="N657" s="576"/>
      <c r="O657" s="1398">
        <f>U656</f>
        <v>680640</v>
      </c>
      <c r="P657" s="1399"/>
      <c r="Q657" s="1399"/>
      <c r="R657" s="926" t="s">
        <v>724</v>
      </c>
      <c r="S657" s="927">
        <v>0.12809999999999999</v>
      </c>
      <c r="T657" s="916" t="s">
        <v>345</v>
      </c>
      <c r="U657" s="931">
        <f>ROUNDUP(O657*S657,-1)+20</f>
        <v>87210</v>
      </c>
      <c r="V657" s="544">
        <f>'사. 임직원보수 일람표'!V191</f>
        <v>87210</v>
      </c>
      <c r="W657" s="544">
        <f t="shared" si="39"/>
        <v>0</v>
      </c>
      <c r="AE657" s="1054"/>
    </row>
    <row r="658" spans="1:31" ht="21.75" customHeight="1" x14ac:dyDescent="0.15">
      <c r="A658" s="569"/>
      <c r="B658" s="570"/>
      <c r="C658" s="570"/>
      <c r="D658" s="571"/>
      <c r="E658" s="572"/>
      <c r="F658" s="573"/>
      <c r="G658" s="942"/>
      <c r="H658" s="602"/>
      <c r="I658" s="574"/>
      <c r="J658" s="574"/>
      <c r="K658" s="955"/>
      <c r="L658" s="946"/>
      <c r="M658" s="578" t="s">
        <v>744</v>
      </c>
      <c r="N658" s="576"/>
      <c r="O658" s="1398">
        <f>O655</f>
        <v>15600000</v>
      </c>
      <c r="P658" s="1399"/>
      <c r="Q658" s="1399"/>
      <c r="R658" s="926" t="s">
        <v>724</v>
      </c>
      <c r="S658" s="927">
        <v>1.0500000000000001E-2</v>
      </c>
      <c r="T658" s="916" t="s">
        <v>345</v>
      </c>
      <c r="U658" s="931">
        <f t="shared" ref="U658:U664" si="41">ROUNDUP(O658*S658,-1)</f>
        <v>163800</v>
      </c>
      <c r="V658" s="544">
        <f>'사. 임직원보수 일람표'!W191</f>
        <v>163800</v>
      </c>
      <c r="W658" s="544">
        <f t="shared" si="39"/>
        <v>0</v>
      </c>
      <c r="AE658" s="1054"/>
    </row>
    <row r="659" spans="1:31" ht="21.75" customHeight="1" x14ac:dyDescent="0.15">
      <c r="A659" s="569"/>
      <c r="B659" s="570"/>
      <c r="C659" s="570"/>
      <c r="D659" s="571"/>
      <c r="E659" s="572"/>
      <c r="F659" s="573"/>
      <c r="G659" s="942"/>
      <c r="H659" s="602"/>
      <c r="I659" s="574"/>
      <c r="J659" s="574"/>
      <c r="K659" s="955"/>
      <c r="L659" s="946"/>
      <c r="M659" s="578" t="s">
        <v>743</v>
      </c>
      <c r="N659" s="576"/>
      <c r="O659" s="1398">
        <f>O658</f>
        <v>15600000</v>
      </c>
      <c r="P659" s="1399"/>
      <c r="Q659" s="1399"/>
      <c r="R659" s="926" t="s">
        <v>724</v>
      </c>
      <c r="S659" s="927">
        <v>8.0000000000000002E-3</v>
      </c>
      <c r="T659" s="916" t="s">
        <v>345</v>
      </c>
      <c r="U659" s="931">
        <f t="shared" si="41"/>
        <v>124800</v>
      </c>
      <c r="V659" s="544">
        <f>'사. 임직원보수 일람표'!X191</f>
        <v>124800</v>
      </c>
      <c r="W659" s="544">
        <f t="shared" si="39"/>
        <v>0</v>
      </c>
      <c r="AE659" s="1054"/>
    </row>
    <row r="660" spans="1:31" ht="21.75" customHeight="1" x14ac:dyDescent="0.15">
      <c r="A660" s="569"/>
      <c r="B660" s="570"/>
      <c r="C660" s="570"/>
      <c r="D660" s="571"/>
      <c r="E660" s="572"/>
      <c r="F660" s="573"/>
      <c r="G660" s="942"/>
      <c r="H660" s="602"/>
      <c r="I660" s="574"/>
      <c r="J660" s="574"/>
      <c r="K660" s="955"/>
      <c r="L660" s="946" t="s">
        <v>98</v>
      </c>
      <c r="M660" s="578" t="s">
        <v>740</v>
      </c>
      <c r="N660" s="576"/>
      <c r="O660" s="1398">
        <f>O648-U142</f>
        <v>15600000</v>
      </c>
      <c r="P660" s="1399"/>
      <c r="Q660" s="1399"/>
      <c r="R660" s="926" t="s">
        <v>724</v>
      </c>
      <c r="S660" s="927">
        <v>4.4999999999999998E-2</v>
      </c>
      <c r="T660" s="916" t="s">
        <v>345</v>
      </c>
      <c r="U660" s="931">
        <f t="shared" si="41"/>
        <v>702000</v>
      </c>
      <c r="V660" s="544">
        <f>'사. 임직원보수 일람표'!T209</f>
        <v>702000</v>
      </c>
      <c r="W660" s="544">
        <f t="shared" si="39"/>
        <v>0</v>
      </c>
      <c r="AE660" s="1054"/>
    </row>
    <row r="661" spans="1:31" ht="21.75" customHeight="1" x14ac:dyDescent="0.15">
      <c r="A661" s="569"/>
      <c r="B661" s="570"/>
      <c r="C661" s="570"/>
      <c r="D661" s="571"/>
      <c r="E661" s="572"/>
      <c r="F661" s="573"/>
      <c r="G661" s="942"/>
      <c r="H661" s="602"/>
      <c r="I661" s="574"/>
      <c r="J661" s="574"/>
      <c r="K661" s="955"/>
      <c r="L661" s="946"/>
      <c r="M661" s="578" t="s">
        <v>741</v>
      </c>
      <c r="N661" s="576"/>
      <c r="O661" s="1398">
        <f>O648</f>
        <v>41400000</v>
      </c>
      <c r="P661" s="1399"/>
      <c r="Q661" s="1399"/>
      <c r="R661" s="926" t="s">
        <v>724</v>
      </c>
      <c r="S661" s="928">
        <v>3.5450000000000002E-2</v>
      </c>
      <c r="T661" s="916" t="s">
        <v>345</v>
      </c>
      <c r="U661" s="931">
        <f t="shared" si="41"/>
        <v>1467630</v>
      </c>
      <c r="V661" s="544">
        <f>'사. 임직원보수 일람표'!U209</f>
        <v>1467630</v>
      </c>
      <c r="W661" s="544">
        <f t="shared" si="39"/>
        <v>0</v>
      </c>
      <c r="AE661" s="1054"/>
    </row>
    <row r="662" spans="1:31" ht="21.75" customHeight="1" x14ac:dyDescent="0.15">
      <c r="A662" s="569"/>
      <c r="B662" s="570"/>
      <c r="C662" s="570"/>
      <c r="D662" s="571"/>
      <c r="E662" s="572"/>
      <c r="F662" s="573"/>
      <c r="G662" s="942"/>
      <c r="H662" s="602"/>
      <c r="I662" s="574"/>
      <c r="J662" s="574"/>
      <c r="K662" s="955"/>
      <c r="L662" s="946"/>
      <c r="M662" s="578" t="s">
        <v>742</v>
      </c>
      <c r="N662" s="576"/>
      <c r="O662" s="1398">
        <f>U661</f>
        <v>1467630</v>
      </c>
      <c r="P662" s="1399"/>
      <c r="Q662" s="1399"/>
      <c r="R662" s="926" t="s">
        <v>724</v>
      </c>
      <c r="S662" s="927">
        <v>0.12809999999999999</v>
      </c>
      <c r="T662" s="916" t="s">
        <v>345</v>
      </c>
      <c r="U662" s="931">
        <f>ROUNDUP(O662*S662,-1)+10</f>
        <v>188020</v>
      </c>
      <c r="V662" s="544">
        <f>'사. 임직원보수 일람표'!V209</f>
        <v>188020</v>
      </c>
      <c r="W662" s="544">
        <f t="shared" si="39"/>
        <v>0</v>
      </c>
      <c r="AE662" s="1054"/>
    </row>
    <row r="663" spans="1:31" ht="21.75" customHeight="1" x14ac:dyDescent="0.15">
      <c r="A663" s="569"/>
      <c r="B663" s="570"/>
      <c r="C663" s="570"/>
      <c r="D663" s="571"/>
      <c r="E663" s="572"/>
      <c r="F663" s="573"/>
      <c r="G663" s="942"/>
      <c r="H663" s="602"/>
      <c r="I663" s="574"/>
      <c r="J663" s="574"/>
      <c r="K663" s="955"/>
      <c r="L663" s="946"/>
      <c r="M663" s="578" t="s">
        <v>744</v>
      </c>
      <c r="N663" s="576"/>
      <c r="O663" s="1398">
        <f>O648</f>
        <v>41400000</v>
      </c>
      <c r="P663" s="1399"/>
      <c r="Q663" s="1399"/>
      <c r="R663" s="926" t="s">
        <v>724</v>
      </c>
      <c r="S663" s="927">
        <v>1.0500000000000001E-2</v>
      </c>
      <c r="T663" s="916" t="s">
        <v>345</v>
      </c>
      <c r="U663" s="931">
        <f t="shared" si="41"/>
        <v>434700</v>
      </c>
      <c r="V663" s="544">
        <f>'사. 임직원보수 일람표'!W209</f>
        <v>434700</v>
      </c>
      <c r="W663" s="544">
        <f t="shared" si="39"/>
        <v>0</v>
      </c>
      <c r="AE663" s="1054"/>
    </row>
    <row r="664" spans="1:31" ht="21.75" customHeight="1" x14ac:dyDescent="0.15">
      <c r="A664" s="569"/>
      <c r="B664" s="570"/>
      <c r="C664" s="570"/>
      <c r="D664" s="571"/>
      <c r="E664" s="572"/>
      <c r="F664" s="573"/>
      <c r="G664" s="942"/>
      <c r="H664" s="602"/>
      <c r="I664" s="574"/>
      <c r="J664" s="574"/>
      <c r="K664" s="955"/>
      <c r="L664" s="946"/>
      <c r="M664" s="578" t="s">
        <v>743</v>
      </c>
      <c r="N664" s="576"/>
      <c r="O664" s="1398">
        <f>O663</f>
        <v>41400000</v>
      </c>
      <c r="P664" s="1399"/>
      <c r="Q664" s="1399"/>
      <c r="R664" s="926" t="s">
        <v>724</v>
      </c>
      <c r="S664" s="927">
        <v>8.0000000000000002E-3</v>
      </c>
      <c r="T664" s="916" t="s">
        <v>345</v>
      </c>
      <c r="U664" s="931">
        <f t="shared" si="41"/>
        <v>331200</v>
      </c>
      <c r="V664" s="544">
        <f>'사. 임직원보수 일람표'!X209</f>
        <v>331200</v>
      </c>
      <c r="W664" s="544">
        <f t="shared" si="39"/>
        <v>0</v>
      </c>
      <c r="AE664" s="1054"/>
    </row>
    <row r="665" spans="1:31" ht="21.75" customHeight="1" x14ac:dyDescent="0.15">
      <c r="A665" s="569"/>
      <c r="B665" s="570"/>
      <c r="C665" s="961" t="s">
        <v>113</v>
      </c>
      <c r="D665" s="962">
        <v>25720258</v>
      </c>
      <c r="E665" s="963">
        <f>SUM(H665:K665)</f>
        <v>26050000</v>
      </c>
      <c r="F665" s="963">
        <f>E665-D665</f>
        <v>329742</v>
      </c>
      <c r="G665" s="964">
        <f>F665/D665*100</f>
        <v>1.2820322408896521</v>
      </c>
      <c r="H665" s="965">
        <v>0</v>
      </c>
      <c r="I665" s="974">
        <v>5500000</v>
      </c>
      <c r="J665" s="974">
        <f>5046035+300000</f>
        <v>5346035</v>
      </c>
      <c r="K665" s="967">
        <v>15203965</v>
      </c>
      <c r="L665" s="969" t="s">
        <v>750</v>
      </c>
      <c r="M665" s="973"/>
      <c r="N665" s="970"/>
      <c r="O665" s="969"/>
      <c r="P665" s="971"/>
      <c r="Q665" s="969"/>
      <c r="R665" s="972"/>
      <c r="S665" s="969"/>
      <c r="T665" s="969"/>
      <c r="U665" s="1008">
        <f>SUM(U666:U676)</f>
        <v>26050000</v>
      </c>
      <c r="V665" s="544">
        <f>E665-U665</f>
        <v>0</v>
      </c>
      <c r="AC665" s="1214">
        <f>K665</f>
        <v>15203965</v>
      </c>
      <c r="AE665" s="1054"/>
    </row>
    <row r="666" spans="1:31" s="597" customFormat="1" ht="21.75" customHeight="1" x14ac:dyDescent="0.15">
      <c r="A666" s="569"/>
      <c r="B666" s="570"/>
      <c r="C666" s="570"/>
      <c r="D666" s="571"/>
      <c r="E666" s="573"/>
      <c r="F666" s="573"/>
      <c r="G666" s="986"/>
      <c r="H666" s="602"/>
      <c r="I666" s="99"/>
      <c r="J666" s="99"/>
      <c r="K666" s="955"/>
      <c r="L666" s="577"/>
      <c r="M666" s="1368" t="s">
        <v>756</v>
      </c>
      <c r="N666" s="1368"/>
      <c r="O666" s="1366">
        <f>ROUND(U666/S666,-1)</f>
        <v>791670</v>
      </c>
      <c r="P666" s="1366"/>
      <c r="Q666" s="1366"/>
      <c r="R666" s="913" t="s">
        <v>733</v>
      </c>
      <c r="S666" s="915">
        <v>12</v>
      </c>
      <c r="T666" s="916" t="s">
        <v>615</v>
      </c>
      <c r="U666" s="988">
        <v>9500000</v>
      </c>
      <c r="V666" s="987"/>
      <c r="W666" s="987"/>
      <c r="X666" s="987"/>
      <c r="AE666" s="1054"/>
    </row>
    <row r="667" spans="1:31" s="597" customFormat="1" ht="21.75" customHeight="1" x14ac:dyDescent="0.15">
      <c r="A667" s="569"/>
      <c r="B667" s="570"/>
      <c r="C667" s="570"/>
      <c r="D667" s="571"/>
      <c r="E667" s="573"/>
      <c r="F667" s="573"/>
      <c r="G667" s="986"/>
      <c r="H667" s="602"/>
      <c r="I667" s="99"/>
      <c r="J667" s="99"/>
      <c r="K667" s="955"/>
      <c r="L667" s="577"/>
      <c r="M667" s="1368" t="s">
        <v>757</v>
      </c>
      <c r="N667" s="1368"/>
      <c r="O667" s="1366">
        <v>2500000</v>
      </c>
      <c r="P667" s="1366"/>
      <c r="Q667" s="1366"/>
      <c r="R667" s="913" t="s">
        <v>733</v>
      </c>
      <c r="S667" s="989">
        <v>2</v>
      </c>
      <c r="T667" s="916" t="s">
        <v>615</v>
      </c>
      <c r="U667" s="988">
        <f t="shared" ref="U667:U675" si="42">O667*S667</f>
        <v>5000000</v>
      </c>
      <c r="V667" s="987"/>
      <c r="W667" s="987"/>
      <c r="X667" s="987"/>
      <c r="AE667" s="1054"/>
    </row>
    <row r="668" spans="1:31" s="597" customFormat="1" ht="21.75" customHeight="1" x14ac:dyDescent="0.15">
      <c r="A668" s="569"/>
      <c r="B668" s="570"/>
      <c r="C668" s="570"/>
      <c r="D668" s="571"/>
      <c r="E668" s="573"/>
      <c r="F668" s="573"/>
      <c r="G668" s="986"/>
      <c r="H668" s="602"/>
      <c r="I668" s="99"/>
      <c r="J668" s="99"/>
      <c r="K668" s="955"/>
      <c r="L668" s="577"/>
      <c r="M668" s="1368" t="s">
        <v>758</v>
      </c>
      <c r="N668" s="1368"/>
      <c r="O668" s="1366">
        <v>500000</v>
      </c>
      <c r="P668" s="1366"/>
      <c r="Q668" s="1366"/>
      <c r="R668" s="913" t="s">
        <v>733</v>
      </c>
      <c r="S668" s="989">
        <v>1</v>
      </c>
      <c r="T668" s="916" t="s">
        <v>615</v>
      </c>
      <c r="U668" s="988">
        <f t="shared" si="42"/>
        <v>500000</v>
      </c>
      <c r="V668" s="987"/>
      <c r="W668" s="987"/>
      <c r="X668" s="987"/>
      <c r="AE668" s="1054"/>
    </row>
    <row r="669" spans="1:31" s="597" customFormat="1" ht="21.75" customHeight="1" x14ac:dyDescent="0.15">
      <c r="A669" s="569"/>
      <c r="B669" s="570"/>
      <c r="C669" s="570"/>
      <c r="D669" s="571"/>
      <c r="E669" s="573"/>
      <c r="F669" s="573"/>
      <c r="G669" s="986"/>
      <c r="H669" s="602"/>
      <c r="I669" s="99"/>
      <c r="J669" s="99"/>
      <c r="K669" s="955"/>
      <c r="L669" s="577"/>
      <c r="M669" s="1368" t="s">
        <v>897</v>
      </c>
      <c r="N669" s="1368"/>
      <c r="O669" s="1366">
        <v>3000000</v>
      </c>
      <c r="P669" s="1366"/>
      <c r="Q669" s="1366"/>
      <c r="R669" s="913" t="s">
        <v>733</v>
      </c>
      <c r="S669" s="989">
        <v>1</v>
      </c>
      <c r="T669" s="916" t="s">
        <v>615</v>
      </c>
      <c r="U669" s="988">
        <f t="shared" si="42"/>
        <v>3000000</v>
      </c>
      <c r="V669" s="987"/>
      <c r="W669" s="987"/>
      <c r="X669" s="987"/>
      <c r="AE669" s="1054"/>
    </row>
    <row r="670" spans="1:31" s="597" customFormat="1" ht="21.75" customHeight="1" x14ac:dyDescent="0.15">
      <c r="A670" s="569"/>
      <c r="B670" s="570"/>
      <c r="C670" s="570"/>
      <c r="D670" s="571"/>
      <c r="E670" s="573"/>
      <c r="F670" s="573"/>
      <c r="G670" s="986"/>
      <c r="H670" s="602"/>
      <c r="I670" s="99"/>
      <c r="J670" s="99"/>
      <c r="K670" s="955"/>
      <c r="L670" s="577"/>
      <c r="M670" s="1368" t="s">
        <v>759</v>
      </c>
      <c r="N670" s="1368"/>
      <c r="O670" s="1366">
        <v>1000000</v>
      </c>
      <c r="P670" s="1366"/>
      <c r="Q670" s="1366"/>
      <c r="R670" s="913" t="s">
        <v>733</v>
      </c>
      <c r="S670" s="989">
        <v>1</v>
      </c>
      <c r="T670" s="916" t="s">
        <v>615</v>
      </c>
      <c r="U670" s="988">
        <f t="shared" si="42"/>
        <v>1000000</v>
      </c>
      <c r="V670" s="987"/>
      <c r="W670" s="987"/>
      <c r="X670" s="987"/>
      <c r="AE670" s="1054"/>
    </row>
    <row r="671" spans="1:31" s="597" customFormat="1" ht="21.75" customHeight="1" x14ac:dyDescent="0.15">
      <c r="A671" s="569"/>
      <c r="B671" s="570"/>
      <c r="C671" s="570"/>
      <c r="D671" s="571"/>
      <c r="E671" s="573"/>
      <c r="F671" s="573"/>
      <c r="G671" s="986"/>
      <c r="H671" s="602"/>
      <c r="I671" s="99"/>
      <c r="J671" s="99"/>
      <c r="K671" s="955"/>
      <c r="L671" s="577"/>
      <c r="M671" s="1368" t="s">
        <v>760</v>
      </c>
      <c r="N671" s="1368"/>
      <c r="O671" s="1366">
        <v>2000000</v>
      </c>
      <c r="P671" s="1366"/>
      <c r="Q671" s="1366"/>
      <c r="R671" s="913" t="s">
        <v>733</v>
      </c>
      <c r="S671" s="989">
        <v>2</v>
      </c>
      <c r="T671" s="916" t="s">
        <v>615</v>
      </c>
      <c r="U671" s="988">
        <f t="shared" si="42"/>
        <v>4000000</v>
      </c>
      <c r="V671" s="987"/>
      <c r="W671" s="987"/>
      <c r="X671" s="987"/>
      <c r="AE671" s="1054"/>
    </row>
    <row r="672" spans="1:31" s="597" customFormat="1" ht="21.75" customHeight="1" x14ac:dyDescent="0.15">
      <c r="A672" s="569"/>
      <c r="B672" s="570"/>
      <c r="C672" s="570"/>
      <c r="D672" s="571"/>
      <c r="E672" s="573"/>
      <c r="F672" s="573"/>
      <c r="G672" s="986"/>
      <c r="H672" s="602"/>
      <c r="I672" s="99"/>
      <c r="J672" s="99"/>
      <c r="K672" s="955"/>
      <c r="L672" s="577"/>
      <c r="M672" s="1368" t="s">
        <v>761</v>
      </c>
      <c r="N672" s="1368"/>
      <c r="O672" s="1366">
        <v>50000</v>
      </c>
      <c r="P672" s="1366"/>
      <c r="Q672" s="1366"/>
      <c r="R672" s="913" t="s">
        <v>733</v>
      </c>
      <c r="S672" s="989">
        <v>1</v>
      </c>
      <c r="T672" s="916" t="s">
        <v>615</v>
      </c>
      <c r="U672" s="988">
        <f t="shared" si="42"/>
        <v>50000</v>
      </c>
      <c r="V672" s="987"/>
      <c r="W672" s="987"/>
      <c r="X672" s="987"/>
      <c r="AE672" s="1054"/>
    </row>
    <row r="673" spans="1:31" s="597" customFormat="1" ht="21.75" customHeight="1" x14ac:dyDescent="0.15">
      <c r="A673" s="569"/>
      <c r="B673" s="570"/>
      <c r="C673" s="570"/>
      <c r="D673" s="571"/>
      <c r="E673" s="573"/>
      <c r="F673" s="573"/>
      <c r="G673" s="986"/>
      <c r="H673" s="602"/>
      <c r="I673" s="99"/>
      <c r="J673" s="99"/>
      <c r="K673" s="955"/>
      <c r="L673" s="577"/>
      <c r="M673" s="1368" t="s">
        <v>762</v>
      </c>
      <c r="N673" s="1368"/>
      <c r="O673" s="1366">
        <v>1000000</v>
      </c>
      <c r="P673" s="1366"/>
      <c r="Q673" s="1366"/>
      <c r="R673" s="913" t="s">
        <v>733</v>
      </c>
      <c r="S673" s="989">
        <v>1</v>
      </c>
      <c r="T673" s="916" t="s">
        <v>615</v>
      </c>
      <c r="U673" s="988">
        <f t="shared" si="42"/>
        <v>1000000</v>
      </c>
      <c r="V673" s="987"/>
      <c r="W673" s="987"/>
      <c r="X673" s="987"/>
      <c r="AE673" s="1054"/>
    </row>
    <row r="674" spans="1:31" s="597" customFormat="1" ht="21.75" customHeight="1" x14ac:dyDescent="0.15">
      <c r="A674" s="569"/>
      <c r="B674" s="570"/>
      <c r="C674" s="570"/>
      <c r="D674" s="571"/>
      <c r="E674" s="573"/>
      <c r="F674" s="573"/>
      <c r="G674" s="986"/>
      <c r="H674" s="602"/>
      <c r="I674" s="99"/>
      <c r="J674" s="99"/>
      <c r="K674" s="955"/>
      <c r="L674" s="577"/>
      <c r="M674" s="1368" t="s">
        <v>1309</v>
      </c>
      <c r="N674" s="1368"/>
      <c r="O674" s="1366">
        <v>500000</v>
      </c>
      <c r="P674" s="1366"/>
      <c r="Q674" s="1366"/>
      <c r="R674" s="913" t="s">
        <v>733</v>
      </c>
      <c r="S674" s="989">
        <v>4</v>
      </c>
      <c r="T674" s="916" t="s">
        <v>615</v>
      </c>
      <c r="U674" s="988">
        <f t="shared" si="42"/>
        <v>2000000</v>
      </c>
      <c r="V674" s="987"/>
      <c r="W674" s="987"/>
      <c r="X674" s="987"/>
      <c r="AE674" s="1054"/>
    </row>
    <row r="675" spans="1:31" s="597" customFormat="1" ht="21.75" customHeight="1" x14ac:dyDescent="0.15">
      <c r="A675" s="569"/>
      <c r="B675" s="570"/>
      <c r="C675" s="570"/>
      <c r="D675" s="571"/>
      <c r="E675" s="573"/>
      <c r="F675" s="573"/>
      <c r="G675" s="986"/>
      <c r="H675" s="602"/>
      <c r="I675" s="99"/>
      <c r="J675" s="99"/>
      <c r="K675" s="955"/>
      <c r="L675" s="577"/>
      <c r="M675" s="1368"/>
      <c r="N675" s="1368"/>
      <c r="O675" s="1366"/>
      <c r="P675" s="1366"/>
      <c r="Q675" s="1366"/>
      <c r="R675" s="913" t="s">
        <v>733</v>
      </c>
      <c r="S675" s="989">
        <v>4</v>
      </c>
      <c r="T675" s="916" t="s">
        <v>615</v>
      </c>
      <c r="U675" s="988">
        <f t="shared" si="42"/>
        <v>0</v>
      </c>
      <c r="V675" s="987"/>
      <c r="W675" s="987"/>
      <c r="X675" s="987"/>
      <c r="AE675" s="1054"/>
    </row>
    <row r="676" spans="1:31" s="597" customFormat="1" ht="21.75" hidden="1" customHeight="1" x14ac:dyDescent="0.15">
      <c r="A676" s="569"/>
      <c r="B676" s="570"/>
      <c r="C676" s="570"/>
      <c r="D676" s="571"/>
      <c r="E676" s="573"/>
      <c r="F676" s="573"/>
      <c r="G676" s="986"/>
      <c r="H676" s="602"/>
      <c r="I676" s="99"/>
      <c r="J676" s="99"/>
      <c r="K676" s="955"/>
      <c r="L676" s="577"/>
      <c r="M676" s="1368" t="s">
        <v>763</v>
      </c>
      <c r="N676" s="1368"/>
      <c r="O676" s="1366"/>
      <c r="P676" s="1366"/>
      <c r="Q676" s="1366"/>
      <c r="R676" s="913" t="s">
        <v>733</v>
      </c>
      <c r="S676" s="915">
        <v>1</v>
      </c>
      <c r="T676" s="916" t="s">
        <v>615</v>
      </c>
      <c r="U676" s="988">
        <f>O676*S676</f>
        <v>0</v>
      </c>
      <c r="V676" s="987"/>
      <c r="W676" s="987"/>
      <c r="X676" s="987"/>
      <c r="AE676" s="1054"/>
    </row>
    <row r="677" spans="1:31" ht="21.75" customHeight="1" x14ac:dyDescent="0.15">
      <c r="A677" s="569"/>
      <c r="B677" s="579" t="s">
        <v>114</v>
      </c>
      <c r="C677" s="579" t="s">
        <v>93</v>
      </c>
      <c r="D677" s="580">
        <v>1000000</v>
      </c>
      <c r="E677" s="580">
        <f>E678</f>
        <v>1000000</v>
      </c>
      <c r="F677" s="580">
        <f>E677-D677</f>
        <v>0</v>
      </c>
      <c r="G677" s="941">
        <f>F677/D677*100</f>
        <v>0</v>
      </c>
      <c r="H677" s="603">
        <f>H678</f>
        <v>0</v>
      </c>
      <c r="I677" s="581">
        <f>I678</f>
        <v>200000</v>
      </c>
      <c r="J677" s="581">
        <f>J678</f>
        <v>800000</v>
      </c>
      <c r="K677" s="956">
        <f>K678</f>
        <v>0</v>
      </c>
      <c r="L677" s="933" t="s">
        <v>754</v>
      </c>
      <c r="M677" s="984"/>
      <c r="N677" s="984"/>
      <c r="O677" s="984"/>
      <c r="P677" s="984"/>
      <c r="Q677" s="984"/>
      <c r="R677" s="984"/>
      <c r="S677" s="984"/>
      <c r="T677" s="984"/>
      <c r="U677" s="1010">
        <f>U678</f>
        <v>1000000</v>
      </c>
      <c r="AE677" s="1054"/>
    </row>
    <row r="678" spans="1:31" ht="21.75" customHeight="1" x14ac:dyDescent="0.15">
      <c r="A678" s="569"/>
      <c r="B678" s="582"/>
      <c r="C678" s="961" t="s">
        <v>115</v>
      </c>
      <c r="D678" s="963">
        <v>1000000</v>
      </c>
      <c r="E678" s="963">
        <f>SUM(H678:K678)</f>
        <v>1000000</v>
      </c>
      <c r="F678" s="963">
        <f>E678-D678</f>
        <v>0</v>
      </c>
      <c r="G678" s="964">
        <f>F678/D678*100</f>
        <v>0</v>
      </c>
      <c r="H678" s="965"/>
      <c r="I678" s="974">
        <v>200000</v>
      </c>
      <c r="J678" s="974">
        <v>800000</v>
      </c>
      <c r="K678" s="967">
        <v>0</v>
      </c>
      <c r="L678" s="969" t="s">
        <v>811</v>
      </c>
      <c r="M678" s="973"/>
      <c r="N678" s="970"/>
      <c r="O678" s="969"/>
      <c r="P678" s="971"/>
      <c r="Q678" s="969"/>
      <c r="R678" s="972"/>
      <c r="S678" s="969"/>
      <c r="T678" s="969"/>
      <c r="U678" s="1008">
        <f>SUM(U679:U681)</f>
        <v>1000000</v>
      </c>
      <c r="V678" s="544">
        <f>U678-E678</f>
        <v>0</v>
      </c>
      <c r="AE678" s="1054"/>
    </row>
    <row r="679" spans="1:31" ht="21.75" customHeight="1" x14ac:dyDescent="0.15">
      <c r="A679" s="569"/>
      <c r="B679" s="582"/>
      <c r="C679" s="570"/>
      <c r="D679" s="573"/>
      <c r="E679" s="573"/>
      <c r="F679" s="573"/>
      <c r="G679" s="990"/>
      <c r="H679" s="602"/>
      <c r="I679" s="99"/>
      <c r="J679" s="99"/>
      <c r="K679" s="955"/>
      <c r="L679" s="1375" t="s">
        <v>766</v>
      </c>
      <c r="M679" s="1376"/>
      <c r="N679" s="1376"/>
      <c r="O679" s="1366"/>
      <c r="P679" s="1366"/>
      <c r="Q679" s="1366"/>
      <c r="R679" s="913" t="s">
        <v>733</v>
      </c>
      <c r="S679" s="989">
        <v>1</v>
      </c>
      <c r="T679" s="916" t="s">
        <v>615</v>
      </c>
      <c r="U679" s="988">
        <f>O679*S679</f>
        <v>0</v>
      </c>
      <c r="AE679" s="1054"/>
    </row>
    <row r="680" spans="1:31" ht="21.75" customHeight="1" x14ac:dyDescent="0.15">
      <c r="A680" s="569"/>
      <c r="B680" s="582"/>
      <c r="C680" s="570"/>
      <c r="D680" s="573"/>
      <c r="E680" s="573"/>
      <c r="F680" s="573"/>
      <c r="G680" s="990"/>
      <c r="H680" s="602"/>
      <c r="I680" s="99"/>
      <c r="J680" s="99"/>
      <c r="K680" s="955"/>
      <c r="L680" s="1375" t="s">
        <v>765</v>
      </c>
      <c r="M680" s="1376"/>
      <c r="N680" s="1376"/>
      <c r="O680" s="1366">
        <f>70000*7</f>
        <v>490000</v>
      </c>
      <c r="P680" s="1366"/>
      <c r="Q680" s="1366"/>
      <c r="R680" s="913" t="s">
        <v>733</v>
      </c>
      <c r="S680" s="989">
        <v>1</v>
      </c>
      <c r="T680" s="916" t="s">
        <v>615</v>
      </c>
      <c r="U680" s="988">
        <f>O680*S680</f>
        <v>490000</v>
      </c>
      <c r="AE680" s="1054"/>
    </row>
    <row r="681" spans="1:31" ht="21.75" customHeight="1" x14ac:dyDescent="0.15">
      <c r="A681" s="569"/>
      <c r="B681" s="582"/>
      <c r="C681" s="570"/>
      <c r="D681" s="573"/>
      <c r="E681" s="573"/>
      <c r="F681" s="573"/>
      <c r="G681" s="990"/>
      <c r="H681" s="602"/>
      <c r="I681" s="99"/>
      <c r="J681" s="99"/>
      <c r="K681" s="955"/>
      <c r="L681" s="1375" t="s">
        <v>764</v>
      </c>
      <c r="M681" s="1376"/>
      <c r="N681" s="1376"/>
      <c r="O681" s="1366">
        <f>ROUNDUP(U681/S681,-1)</f>
        <v>127500</v>
      </c>
      <c r="P681" s="1366"/>
      <c r="Q681" s="1366"/>
      <c r="R681" s="913" t="s">
        <v>733</v>
      </c>
      <c r="S681" s="989">
        <v>4</v>
      </c>
      <c r="T681" s="916" t="s">
        <v>615</v>
      </c>
      <c r="U681" s="988">
        <v>510000</v>
      </c>
      <c r="AE681" s="1054"/>
    </row>
    <row r="682" spans="1:31" ht="21.75" customHeight="1" x14ac:dyDescent="0.15">
      <c r="A682" s="569"/>
      <c r="B682" s="583" t="s">
        <v>116</v>
      </c>
      <c r="C682" s="583" t="s">
        <v>93</v>
      </c>
      <c r="D682" s="580">
        <v>248513160</v>
      </c>
      <c r="E682" s="580">
        <f>SUM(E683:E720)</f>
        <v>265440160</v>
      </c>
      <c r="F682" s="580">
        <f>E682-D682</f>
        <v>16927000</v>
      </c>
      <c r="G682" s="941">
        <f>F682/D682*100</f>
        <v>6.8113093085291743</v>
      </c>
      <c r="H682" s="603">
        <f>SUM(H683:H720)</f>
        <v>80943500</v>
      </c>
      <c r="I682" s="581">
        <f>SUM(I683:I720)</f>
        <v>4861550</v>
      </c>
      <c r="J682" s="581">
        <f>SUM(J683:J720)</f>
        <v>42753965</v>
      </c>
      <c r="K682" s="956">
        <f>SUM(K683:K720)</f>
        <v>136881145</v>
      </c>
      <c r="L682" s="985" t="s">
        <v>755</v>
      </c>
      <c r="M682" s="584"/>
      <c r="N682" s="584"/>
      <c r="O682" s="584"/>
      <c r="P682" s="584"/>
      <c r="Q682" s="584"/>
      <c r="R682" s="584"/>
      <c r="S682" s="584"/>
      <c r="T682" s="584"/>
      <c r="U682" s="1013">
        <f>U683+U685+U702+U709+U717+U720</f>
        <v>265440160</v>
      </c>
      <c r="AE682" s="1054"/>
    </row>
    <row r="683" spans="1:31" ht="21.75" customHeight="1" x14ac:dyDescent="0.15">
      <c r="A683" s="569"/>
      <c r="B683" s="585"/>
      <c r="C683" s="994" t="s">
        <v>117</v>
      </c>
      <c r="D683" s="963">
        <v>1500000</v>
      </c>
      <c r="E683" s="963">
        <f>SUM(H683:K683)</f>
        <v>1500000</v>
      </c>
      <c r="F683" s="963">
        <f>E683-D683</f>
        <v>0</v>
      </c>
      <c r="G683" s="964">
        <f>F683/D683*100</f>
        <v>0</v>
      </c>
      <c r="H683" s="965">
        <v>0</v>
      </c>
      <c r="I683" s="966"/>
      <c r="J683" s="974">
        <v>0</v>
      </c>
      <c r="K683" s="967">
        <v>1500000</v>
      </c>
      <c r="L683" s="968" t="s">
        <v>812</v>
      </c>
      <c r="M683" s="969"/>
      <c r="N683" s="970"/>
      <c r="O683" s="969"/>
      <c r="P683" s="971"/>
      <c r="Q683" s="969"/>
      <c r="R683" s="972"/>
      <c r="S683" s="969"/>
      <c r="T683" s="969"/>
      <c r="U683" s="1008">
        <f>E683</f>
        <v>1500000</v>
      </c>
      <c r="V683" s="544">
        <f>U683-E683</f>
        <v>0</v>
      </c>
      <c r="AC683" s="1214">
        <f>K683</f>
        <v>1500000</v>
      </c>
      <c r="AE683" s="1054"/>
    </row>
    <row r="684" spans="1:31" ht="21.75" customHeight="1" x14ac:dyDescent="0.15">
      <c r="A684" s="569"/>
      <c r="B684" s="585"/>
      <c r="C684" s="585"/>
      <c r="D684" s="573"/>
      <c r="E684" s="572"/>
      <c r="F684" s="573"/>
      <c r="G684" s="942"/>
      <c r="H684" s="602"/>
      <c r="I684" s="574"/>
      <c r="J684" s="99"/>
      <c r="K684" s="955"/>
      <c r="L684" s="1367" t="s">
        <v>767</v>
      </c>
      <c r="M684" s="1368"/>
      <c r="N684" s="1368"/>
      <c r="O684" s="1366">
        <f>ROUND(U684/S684,-1)</f>
        <v>125000</v>
      </c>
      <c r="P684" s="1366"/>
      <c r="Q684" s="1366"/>
      <c r="R684" s="913" t="s">
        <v>733</v>
      </c>
      <c r="S684" s="915">
        <v>12</v>
      </c>
      <c r="T684" s="916" t="s">
        <v>615</v>
      </c>
      <c r="U684" s="988">
        <v>1500000</v>
      </c>
      <c r="AC684" s="1214"/>
      <c r="AE684" s="1054"/>
    </row>
    <row r="685" spans="1:31" ht="21.75" customHeight="1" x14ac:dyDescent="0.15">
      <c r="A685" s="569"/>
      <c r="B685" s="585"/>
      <c r="C685" s="994" t="s">
        <v>118</v>
      </c>
      <c r="D685" s="962">
        <v>60443323</v>
      </c>
      <c r="E685" s="963">
        <f>SUM(H685:K685)</f>
        <v>62970160</v>
      </c>
      <c r="F685" s="963">
        <f>E685-D685</f>
        <v>2526837</v>
      </c>
      <c r="G685" s="964">
        <f>F685/D685*100</f>
        <v>4.1805064225208133</v>
      </c>
      <c r="H685" s="965">
        <v>15836630</v>
      </c>
      <c r="I685" s="974">
        <v>2500000</v>
      </c>
      <c r="J685" s="974">
        <v>2403965</v>
      </c>
      <c r="K685" s="967">
        <v>42229565</v>
      </c>
      <c r="L685" s="968" t="s">
        <v>813</v>
      </c>
      <c r="M685" s="969"/>
      <c r="N685" s="970"/>
      <c r="O685" s="969"/>
      <c r="P685" s="971"/>
      <c r="Q685" s="969"/>
      <c r="R685" s="972"/>
      <c r="S685" s="969"/>
      <c r="T685" s="969"/>
      <c r="U685" s="1008">
        <f>SUM(U686:U701)</f>
        <v>62970160</v>
      </c>
      <c r="V685" s="544">
        <f>U685-E685</f>
        <v>0</v>
      </c>
      <c r="AC685" s="1214">
        <f>K685</f>
        <v>42229565</v>
      </c>
      <c r="AE685" s="1054"/>
    </row>
    <row r="686" spans="1:31" ht="21.75" customHeight="1" x14ac:dyDescent="0.15">
      <c r="A686" s="569"/>
      <c r="B686" s="585"/>
      <c r="C686" s="585"/>
      <c r="D686" s="571"/>
      <c r="E686" s="572"/>
      <c r="F686" s="573"/>
      <c r="G686" s="609"/>
      <c r="H686" s="602"/>
      <c r="I686" s="99"/>
      <c r="J686" s="99"/>
      <c r="K686" s="955"/>
      <c r="L686" s="1367" t="s">
        <v>768</v>
      </c>
      <c r="M686" s="1368"/>
      <c r="N686" s="1368"/>
      <c r="O686" s="1366">
        <v>39900</v>
      </c>
      <c r="P686" s="1366"/>
      <c r="Q686" s="1366"/>
      <c r="R686" s="913" t="s">
        <v>733</v>
      </c>
      <c r="S686" s="915">
        <v>12</v>
      </c>
      <c r="T686" s="916" t="s">
        <v>615</v>
      </c>
      <c r="U686" s="988">
        <f>O686*S686</f>
        <v>478800</v>
      </c>
      <c r="AE686" s="1054"/>
    </row>
    <row r="687" spans="1:31" ht="21.75" customHeight="1" x14ac:dyDescent="0.15">
      <c r="A687" s="569"/>
      <c r="B687" s="585"/>
      <c r="C687" s="585"/>
      <c r="D687" s="571"/>
      <c r="E687" s="572"/>
      <c r="F687" s="573"/>
      <c r="G687" s="609"/>
      <c r="H687" s="602"/>
      <c r="I687" s="99"/>
      <c r="J687" s="99"/>
      <c r="K687" s="955"/>
      <c r="L687" s="1367" t="s">
        <v>1125</v>
      </c>
      <c r="M687" s="1368"/>
      <c r="N687" s="1368"/>
      <c r="O687" s="1366">
        <v>364360</v>
      </c>
      <c r="P687" s="1366"/>
      <c r="Q687" s="1366"/>
      <c r="R687" s="913" t="s">
        <v>733</v>
      </c>
      <c r="S687" s="915">
        <v>12</v>
      </c>
      <c r="T687" s="916" t="s">
        <v>615</v>
      </c>
      <c r="U687" s="988">
        <f t="shared" ref="U687:U700" si="43">O687*S687</f>
        <v>4372320</v>
      </c>
      <c r="AE687" s="1054"/>
    </row>
    <row r="688" spans="1:31" ht="21.75" customHeight="1" x14ac:dyDescent="0.15">
      <c r="A688" s="569"/>
      <c r="B688" s="585"/>
      <c r="C688" s="585"/>
      <c r="D688" s="571"/>
      <c r="E688" s="572"/>
      <c r="F688" s="573"/>
      <c r="G688" s="609"/>
      <c r="H688" s="602"/>
      <c r="I688" s="99"/>
      <c r="J688" s="99"/>
      <c r="K688" s="955"/>
      <c r="L688" s="1367" t="s">
        <v>1126</v>
      </c>
      <c r="M688" s="1368"/>
      <c r="N688" s="1368"/>
      <c r="O688" s="1366">
        <v>125920</v>
      </c>
      <c r="P688" s="1366"/>
      <c r="Q688" s="1366"/>
      <c r="R688" s="913" t="s">
        <v>733</v>
      </c>
      <c r="S688" s="915">
        <v>12</v>
      </c>
      <c r="T688" s="916" t="s">
        <v>615</v>
      </c>
      <c r="U688" s="988">
        <f t="shared" si="43"/>
        <v>1511040</v>
      </c>
      <c r="AE688" s="1054"/>
    </row>
    <row r="689" spans="1:31" ht="21.75" customHeight="1" x14ac:dyDescent="0.15">
      <c r="A689" s="569"/>
      <c r="B689" s="585"/>
      <c r="C689" s="585"/>
      <c r="D689" s="571"/>
      <c r="E689" s="572"/>
      <c r="F689" s="573"/>
      <c r="G689" s="609"/>
      <c r="H689" s="602"/>
      <c r="I689" s="99"/>
      <c r="J689" s="99"/>
      <c r="K689" s="955"/>
      <c r="L689" s="1367" t="s">
        <v>769</v>
      </c>
      <c r="M689" s="1368"/>
      <c r="N689" s="1368"/>
      <c r="O689" s="1366">
        <v>160000</v>
      </c>
      <c r="P689" s="1366"/>
      <c r="Q689" s="1366"/>
      <c r="R689" s="913" t="s">
        <v>733</v>
      </c>
      <c r="S689" s="915">
        <v>12</v>
      </c>
      <c r="T689" s="916" t="s">
        <v>615</v>
      </c>
      <c r="U689" s="988">
        <f t="shared" si="43"/>
        <v>1920000</v>
      </c>
      <c r="AE689" s="1054"/>
    </row>
    <row r="690" spans="1:31" ht="21.75" customHeight="1" x14ac:dyDescent="0.15">
      <c r="A690" s="569"/>
      <c r="B690" s="585"/>
      <c r="C690" s="585"/>
      <c r="D690" s="571"/>
      <c r="E690" s="572"/>
      <c r="F690" s="573"/>
      <c r="G690" s="609"/>
      <c r="H690" s="602"/>
      <c r="I690" s="99"/>
      <c r="J690" s="99"/>
      <c r="K690" s="955"/>
      <c r="L690" s="1367" t="s">
        <v>770</v>
      </c>
      <c r="M690" s="1368"/>
      <c r="N690" s="1368"/>
      <c r="O690" s="1366">
        <v>165000</v>
      </c>
      <c r="P690" s="1366"/>
      <c r="Q690" s="1366"/>
      <c r="R690" s="913" t="s">
        <v>733</v>
      </c>
      <c r="S690" s="915">
        <v>12</v>
      </c>
      <c r="T690" s="916" t="s">
        <v>615</v>
      </c>
      <c r="U690" s="988">
        <f t="shared" si="43"/>
        <v>1980000</v>
      </c>
      <c r="AE690" s="1054"/>
    </row>
    <row r="691" spans="1:31" ht="21.75" customHeight="1" x14ac:dyDescent="0.15">
      <c r="A691" s="569"/>
      <c r="B691" s="585"/>
      <c r="C691" s="585"/>
      <c r="D691" s="571"/>
      <c r="E691" s="572"/>
      <c r="F691" s="573"/>
      <c r="G691" s="609"/>
      <c r="H691" s="602"/>
      <c r="I691" s="99"/>
      <c r="J691" s="99"/>
      <c r="K691" s="955"/>
      <c r="L691" s="1367" t="s">
        <v>1331</v>
      </c>
      <c r="M691" s="1368"/>
      <c r="N691" s="1368"/>
      <c r="O691" s="1366">
        <v>600000</v>
      </c>
      <c r="P691" s="1366"/>
      <c r="Q691" s="1366"/>
      <c r="R691" s="913" t="s">
        <v>733</v>
      </c>
      <c r="S691" s="915">
        <v>12</v>
      </c>
      <c r="T691" s="916" t="s">
        <v>615</v>
      </c>
      <c r="U691" s="988">
        <f t="shared" si="43"/>
        <v>7200000</v>
      </c>
      <c r="AE691" s="1054"/>
    </row>
    <row r="692" spans="1:31" ht="21.75" customHeight="1" x14ac:dyDescent="0.15">
      <c r="A692" s="569"/>
      <c r="B692" s="585"/>
      <c r="C692" s="585"/>
      <c r="D692" s="571"/>
      <c r="E692" s="572"/>
      <c r="F692" s="573"/>
      <c r="G692" s="609"/>
      <c r="H692" s="602"/>
      <c r="I692" s="99"/>
      <c r="J692" s="99"/>
      <c r="K692" s="955"/>
      <c r="L692" s="1367" t="s">
        <v>771</v>
      </c>
      <c r="M692" s="1368"/>
      <c r="N692" s="1368"/>
      <c r="O692" s="1366">
        <v>154000</v>
      </c>
      <c r="P692" s="1366"/>
      <c r="Q692" s="1366"/>
      <c r="R692" s="913" t="s">
        <v>733</v>
      </c>
      <c r="S692" s="915">
        <v>12</v>
      </c>
      <c r="T692" s="916" t="s">
        <v>615</v>
      </c>
      <c r="U692" s="988">
        <f>O692*S692</f>
        <v>1848000</v>
      </c>
      <c r="AE692" s="1054"/>
    </row>
    <row r="693" spans="1:31" ht="21.75" customHeight="1" x14ac:dyDescent="0.15">
      <c r="A693" s="569"/>
      <c r="B693" s="585"/>
      <c r="C693" s="585"/>
      <c r="D693" s="571"/>
      <c r="E693" s="572"/>
      <c r="F693" s="573"/>
      <c r="G693" s="609"/>
      <c r="H693" s="602"/>
      <c r="I693" s="99"/>
      <c r="J693" s="99"/>
      <c r="K693" s="955"/>
      <c r="L693" s="1367" t="s">
        <v>772</v>
      </c>
      <c r="M693" s="1368"/>
      <c r="N693" s="1368"/>
      <c r="O693" s="1366">
        <v>1700000</v>
      </c>
      <c r="P693" s="1366"/>
      <c r="Q693" s="1366"/>
      <c r="R693" s="913" t="s">
        <v>733</v>
      </c>
      <c r="S693" s="989">
        <v>6</v>
      </c>
      <c r="T693" s="916" t="s">
        <v>615</v>
      </c>
      <c r="U693" s="988">
        <f t="shared" si="43"/>
        <v>10200000</v>
      </c>
      <c r="AE693" s="1054"/>
    </row>
    <row r="694" spans="1:31" ht="21.75" customHeight="1" x14ac:dyDescent="0.15">
      <c r="A694" s="569"/>
      <c r="B694" s="585"/>
      <c r="C694" s="585"/>
      <c r="D694" s="571"/>
      <c r="E694" s="572"/>
      <c r="F694" s="573"/>
      <c r="G694" s="609"/>
      <c r="H694" s="602"/>
      <c r="I694" s="99"/>
      <c r="J694" s="99"/>
      <c r="K694" s="955"/>
      <c r="L694" s="1367" t="s">
        <v>773</v>
      </c>
      <c r="M694" s="1368"/>
      <c r="N694" s="1368"/>
      <c r="O694" s="1366">
        <v>600000</v>
      </c>
      <c r="P694" s="1366"/>
      <c r="Q694" s="1366"/>
      <c r="R694" s="913" t="s">
        <v>733</v>
      </c>
      <c r="S694" s="989">
        <v>4</v>
      </c>
      <c r="T694" s="916" t="s">
        <v>615</v>
      </c>
      <c r="U694" s="988">
        <f t="shared" si="43"/>
        <v>2400000</v>
      </c>
      <c r="AE694" s="1054"/>
    </row>
    <row r="695" spans="1:31" ht="21.75" customHeight="1" x14ac:dyDescent="0.15">
      <c r="A695" s="569"/>
      <c r="B695" s="585"/>
      <c r="C695" s="585"/>
      <c r="D695" s="571"/>
      <c r="E695" s="572"/>
      <c r="F695" s="573"/>
      <c r="G695" s="609"/>
      <c r="H695" s="602"/>
      <c r="I695" s="99"/>
      <c r="J695" s="99"/>
      <c r="K695" s="955"/>
      <c r="L695" s="1367" t="s">
        <v>1127</v>
      </c>
      <c r="M695" s="1368"/>
      <c r="N695" s="1368"/>
      <c r="O695" s="1366">
        <v>2500000</v>
      </c>
      <c r="P695" s="1366"/>
      <c r="Q695" s="1366"/>
      <c r="R695" s="913" t="s">
        <v>733</v>
      </c>
      <c r="S695" s="989">
        <v>3</v>
      </c>
      <c r="T695" s="916" t="s">
        <v>615</v>
      </c>
      <c r="U695" s="988">
        <f t="shared" si="43"/>
        <v>7500000</v>
      </c>
      <c r="AE695" s="1054"/>
    </row>
    <row r="696" spans="1:31" ht="21.75" customHeight="1" x14ac:dyDescent="0.15">
      <c r="A696" s="569"/>
      <c r="B696" s="585"/>
      <c r="C696" s="585"/>
      <c r="D696" s="571"/>
      <c r="E696" s="572"/>
      <c r="F696" s="573"/>
      <c r="G696" s="609"/>
      <c r="H696" s="602"/>
      <c r="I696" s="99"/>
      <c r="J696" s="99"/>
      <c r="K696" s="955"/>
      <c r="L696" s="1367" t="s">
        <v>774</v>
      </c>
      <c r="M696" s="1368"/>
      <c r="N696" s="1368"/>
      <c r="O696" s="1366">
        <v>30000</v>
      </c>
      <c r="P696" s="1366"/>
      <c r="Q696" s="1366"/>
      <c r="R696" s="913" t="s">
        <v>733</v>
      </c>
      <c r="S696" s="915">
        <v>12</v>
      </c>
      <c r="T696" s="916" t="s">
        <v>615</v>
      </c>
      <c r="U696" s="988">
        <f t="shared" si="43"/>
        <v>360000</v>
      </c>
      <c r="AE696" s="1054"/>
    </row>
    <row r="697" spans="1:31" ht="21.75" customHeight="1" x14ac:dyDescent="0.15">
      <c r="A697" s="569"/>
      <c r="B697" s="585"/>
      <c r="C697" s="585"/>
      <c r="D697" s="571"/>
      <c r="E697" s="572"/>
      <c r="F697" s="573"/>
      <c r="G697" s="609"/>
      <c r="H697" s="602"/>
      <c r="I697" s="99"/>
      <c r="J697" s="99"/>
      <c r="K697" s="955"/>
      <c r="L697" s="1367" t="s">
        <v>775</v>
      </c>
      <c r="M697" s="1368"/>
      <c r="N697" s="1368"/>
      <c r="O697" s="1366">
        <v>100000</v>
      </c>
      <c r="P697" s="1366"/>
      <c r="Q697" s="1366"/>
      <c r="R697" s="913" t="s">
        <v>733</v>
      </c>
      <c r="S697" s="989">
        <v>4</v>
      </c>
      <c r="T697" s="916" t="s">
        <v>615</v>
      </c>
      <c r="U697" s="988">
        <f t="shared" si="43"/>
        <v>400000</v>
      </c>
      <c r="AE697" s="1054"/>
    </row>
    <row r="698" spans="1:31" ht="21.75" customHeight="1" x14ac:dyDescent="0.15">
      <c r="A698" s="569"/>
      <c r="B698" s="585"/>
      <c r="C698" s="585"/>
      <c r="D698" s="571"/>
      <c r="E698" s="572"/>
      <c r="F698" s="573"/>
      <c r="G698" s="609"/>
      <c r="H698" s="602"/>
      <c r="I698" s="99"/>
      <c r="J698" s="99"/>
      <c r="K698" s="955"/>
      <c r="L698" s="1367" t="s">
        <v>776</v>
      </c>
      <c r="M698" s="1368"/>
      <c r="N698" s="1368"/>
      <c r="O698" s="1366">
        <v>600000</v>
      </c>
      <c r="P698" s="1366"/>
      <c r="Q698" s="1366"/>
      <c r="R698" s="913" t="s">
        <v>733</v>
      </c>
      <c r="S698" s="989">
        <v>6</v>
      </c>
      <c r="T698" s="916" t="s">
        <v>615</v>
      </c>
      <c r="U698" s="988">
        <f t="shared" si="43"/>
        <v>3600000</v>
      </c>
      <c r="AE698" s="1054"/>
    </row>
    <row r="699" spans="1:31" ht="21.75" customHeight="1" x14ac:dyDescent="0.15">
      <c r="A699" s="569"/>
      <c r="B699" s="585"/>
      <c r="C699" s="585"/>
      <c r="D699" s="571"/>
      <c r="E699" s="572"/>
      <c r="F699" s="573"/>
      <c r="G699" s="609"/>
      <c r="H699" s="602"/>
      <c r="I699" s="99"/>
      <c r="J699" s="99"/>
      <c r="K699" s="955"/>
      <c r="L699" s="1367" t="s">
        <v>777</v>
      </c>
      <c r="M699" s="1368"/>
      <c r="N699" s="1368"/>
      <c r="O699" s="1366">
        <v>600000</v>
      </c>
      <c r="P699" s="1366"/>
      <c r="Q699" s="1366"/>
      <c r="R699" s="913" t="s">
        <v>733</v>
      </c>
      <c r="S699" s="915">
        <v>12</v>
      </c>
      <c r="T699" s="916" t="s">
        <v>615</v>
      </c>
      <c r="U699" s="988">
        <f t="shared" si="43"/>
        <v>7200000</v>
      </c>
      <c r="AE699" s="1054"/>
    </row>
    <row r="700" spans="1:31" ht="21.75" customHeight="1" x14ac:dyDescent="0.15">
      <c r="A700" s="569"/>
      <c r="B700" s="585"/>
      <c r="C700" s="585"/>
      <c r="D700" s="571"/>
      <c r="E700" s="572"/>
      <c r="F700" s="573"/>
      <c r="G700" s="609"/>
      <c r="H700" s="602"/>
      <c r="I700" s="99"/>
      <c r="J700" s="99"/>
      <c r="K700" s="955"/>
      <c r="L700" s="1367" t="s">
        <v>778</v>
      </c>
      <c r="M700" s="1368"/>
      <c r="N700" s="1368"/>
      <c r="O700" s="1366">
        <v>10000000</v>
      </c>
      <c r="P700" s="1366"/>
      <c r="Q700" s="1366"/>
      <c r="R700" s="913" t="s">
        <v>733</v>
      </c>
      <c r="S700" s="989">
        <v>1</v>
      </c>
      <c r="T700" s="916" t="s">
        <v>615</v>
      </c>
      <c r="U700" s="988">
        <f t="shared" si="43"/>
        <v>10000000</v>
      </c>
      <c r="AE700" s="1054"/>
    </row>
    <row r="701" spans="1:31" ht="21.75" customHeight="1" x14ac:dyDescent="0.15">
      <c r="A701" s="569"/>
      <c r="B701" s="585"/>
      <c r="C701" s="585"/>
      <c r="D701" s="571"/>
      <c r="E701" s="572"/>
      <c r="F701" s="573"/>
      <c r="G701" s="609"/>
      <c r="H701" s="602"/>
      <c r="I701" s="99"/>
      <c r="J701" s="99"/>
      <c r="K701" s="955"/>
      <c r="L701" s="1367" t="s">
        <v>1128</v>
      </c>
      <c r="M701" s="1368"/>
      <c r="N701" s="1368"/>
      <c r="O701" s="1366">
        <f>ROUNDUP(U701/S701,-1)</f>
        <v>500000</v>
      </c>
      <c r="P701" s="1366"/>
      <c r="Q701" s="1366"/>
      <c r="R701" s="913" t="s">
        <v>733</v>
      </c>
      <c r="S701" s="989">
        <v>4</v>
      </c>
      <c r="T701" s="916" t="s">
        <v>615</v>
      </c>
      <c r="U701" s="988">
        <v>2000000</v>
      </c>
      <c r="AE701" s="1054"/>
    </row>
    <row r="702" spans="1:31" ht="21.75" customHeight="1" x14ac:dyDescent="0.15">
      <c r="A702" s="569"/>
      <c r="B702" s="585"/>
      <c r="C702" s="994" t="s">
        <v>119</v>
      </c>
      <c r="D702" s="962">
        <v>127161967</v>
      </c>
      <c r="E702" s="963">
        <f>SUM(H702:K702)</f>
        <v>129000000</v>
      </c>
      <c r="F702" s="963">
        <f>E702-D702</f>
        <v>1838033</v>
      </c>
      <c r="G702" s="964">
        <f>F702/D702*100</f>
        <v>1.4454266817058594</v>
      </c>
      <c r="H702" s="965">
        <v>55000000</v>
      </c>
      <c r="I702" s="974"/>
      <c r="J702" s="974">
        <f>35000000+350000</f>
        <v>35350000</v>
      </c>
      <c r="K702" s="967">
        <f>37600000+1050000</f>
        <v>38650000</v>
      </c>
      <c r="L702" s="968" t="s">
        <v>814</v>
      </c>
      <c r="M702" s="969"/>
      <c r="N702" s="970"/>
      <c r="O702" s="969"/>
      <c r="P702" s="971"/>
      <c r="Q702" s="969"/>
      <c r="R702" s="972"/>
      <c r="S702" s="969"/>
      <c r="T702" s="969"/>
      <c r="U702" s="1008">
        <f>SUM(U703:U708)</f>
        <v>129000000</v>
      </c>
      <c r="V702" s="544">
        <f>U702-E702</f>
        <v>0</v>
      </c>
      <c r="AC702" s="1214">
        <f>K702</f>
        <v>38650000</v>
      </c>
      <c r="AE702" s="1054"/>
    </row>
    <row r="703" spans="1:31" ht="21.75" customHeight="1" x14ac:dyDescent="0.15">
      <c r="A703" s="569"/>
      <c r="B703" s="585"/>
      <c r="C703" s="585"/>
      <c r="D703" s="571"/>
      <c r="E703" s="572"/>
      <c r="F703" s="573"/>
      <c r="G703" s="609"/>
      <c r="H703" s="602"/>
      <c r="I703" s="99"/>
      <c r="J703" s="99"/>
      <c r="K703" s="955"/>
      <c r="L703" s="1367" t="s">
        <v>779</v>
      </c>
      <c r="M703" s="1368"/>
      <c r="N703" s="1368"/>
      <c r="O703" s="1366">
        <f>ROUNDUP(U703/S703,-1)</f>
        <v>8333340</v>
      </c>
      <c r="P703" s="1366"/>
      <c r="Q703" s="1366"/>
      <c r="R703" s="913" t="s">
        <v>733</v>
      </c>
      <c r="S703" s="915">
        <v>12</v>
      </c>
      <c r="T703" s="916" t="s">
        <v>615</v>
      </c>
      <c r="U703" s="988">
        <v>100000000</v>
      </c>
      <c r="AE703" s="1054"/>
    </row>
    <row r="704" spans="1:31" ht="21.75" customHeight="1" x14ac:dyDescent="0.15">
      <c r="A704" s="569"/>
      <c r="B704" s="585"/>
      <c r="C704" s="585"/>
      <c r="D704" s="571"/>
      <c r="E704" s="572"/>
      <c r="F704" s="573"/>
      <c r="G704" s="609"/>
      <c r="H704" s="602"/>
      <c r="I704" s="99"/>
      <c r="J704" s="99"/>
      <c r="K704" s="955"/>
      <c r="L704" s="1367" t="s">
        <v>780</v>
      </c>
      <c r="M704" s="1368"/>
      <c r="N704" s="1368"/>
      <c r="O704" s="1366">
        <v>950000</v>
      </c>
      <c r="P704" s="1366"/>
      <c r="Q704" s="1366"/>
      <c r="R704" s="913" t="s">
        <v>733</v>
      </c>
      <c r="S704" s="915">
        <v>12</v>
      </c>
      <c r="T704" s="916" t="s">
        <v>615</v>
      </c>
      <c r="U704" s="988">
        <f>O704*S704</f>
        <v>11400000</v>
      </c>
      <c r="AE704" s="1054"/>
    </row>
    <row r="705" spans="1:31" ht="21.75" customHeight="1" x14ac:dyDescent="0.15">
      <c r="A705" s="569"/>
      <c r="B705" s="585"/>
      <c r="C705" s="585"/>
      <c r="D705" s="571"/>
      <c r="E705" s="572"/>
      <c r="F705" s="573"/>
      <c r="G705" s="609"/>
      <c r="H705" s="602"/>
      <c r="I705" s="99"/>
      <c r="J705" s="99"/>
      <c r="K705" s="955"/>
      <c r="L705" s="1367" t="s">
        <v>781</v>
      </c>
      <c r="M705" s="1368"/>
      <c r="N705" s="1368"/>
      <c r="O705" s="1366">
        <v>350000</v>
      </c>
      <c r="P705" s="1366"/>
      <c r="Q705" s="1366"/>
      <c r="R705" s="913" t="s">
        <v>733</v>
      </c>
      <c r="S705" s="915">
        <v>12</v>
      </c>
      <c r="T705" s="916" t="s">
        <v>615</v>
      </c>
      <c r="U705" s="988">
        <f>O705*S705</f>
        <v>4200000</v>
      </c>
      <c r="AE705" s="1054"/>
    </row>
    <row r="706" spans="1:31" ht="21.75" customHeight="1" x14ac:dyDescent="0.15">
      <c r="A706" s="569"/>
      <c r="B706" s="585"/>
      <c r="C706" s="585"/>
      <c r="D706" s="571"/>
      <c r="E706" s="572"/>
      <c r="F706" s="573"/>
      <c r="G706" s="609"/>
      <c r="H706" s="602"/>
      <c r="I706" s="99"/>
      <c r="J706" s="99"/>
      <c r="K706" s="955"/>
      <c r="L706" s="1367" t="s">
        <v>782</v>
      </c>
      <c r="M706" s="1368"/>
      <c r="N706" s="1368"/>
      <c r="O706" s="1366">
        <v>350000</v>
      </c>
      <c r="P706" s="1366"/>
      <c r="Q706" s="1366"/>
      <c r="R706" s="913" t="s">
        <v>733</v>
      </c>
      <c r="S706" s="915">
        <v>12</v>
      </c>
      <c r="T706" s="916" t="s">
        <v>615</v>
      </c>
      <c r="U706" s="988">
        <f>O706*S706</f>
        <v>4200000</v>
      </c>
      <c r="AE706" s="1054"/>
    </row>
    <row r="707" spans="1:31" ht="21.75" customHeight="1" x14ac:dyDescent="0.15">
      <c r="A707" s="569"/>
      <c r="B707" s="585"/>
      <c r="C707" s="585"/>
      <c r="D707" s="571"/>
      <c r="E707" s="572"/>
      <c r="F707" s="573"/>
      <c r="G707" s="609"/>
      <c r="H707" s="602"/>
      <c r="I707" s="99"/>
      <c r="J707" s="99"/>
      <c r="K707" s="955"/>
      <c r="L707" s="1367" t="s">
        <v>783</v>
      </c>
      <c r="M707" s="1368"/>
      <c r="N707" s="1368"/>
      <c r="O707" s="1366">
        <v>1200000</v>
      </c>
      <c r="P707" s="1366"/>
      <c r="Q707" s="1366"/>
      <c r="R707" s="913" t="s">
        <v>733</v>
      </c>
      <c r="S707" s="989">
        <v>6</v>
      </c>
      <c r="T707" s="916" t="s">
        <v>615</v>
      </c>
      <c r="U707" s="988">
        <f>O707*S707</f>
        <v>7200000</v>
      </c>
      <c r="AE707" s="1054"/>
    </row>
    <row r="708" spans="1:31" ht="21.75" customHeight="1" x14ac:dyDescent="0.15">
      <c r="A708" s="569"/>
      <c r="B708" s="585"/>
      <c r="C708" s="585"/>
      <c r="D708" s="571"/>
      <c r="E708" s="572"/>
      <c r="F708" s="573"/>
      <c r="G708" s="609"/>
      <c r="H708" s="602"/>
      <c r="I708" s="99"/>
      <c r="J708" s="99"/>
      <c r="K708" s="955"/>
      <c r="L708" s="1367" t="s">
        <v>784</v>
      </c>
      <c r="M708" s="1368"/>
      <c r="N708" s="1368"/>
      <c r="O708" s="1366">
        <f>ROUNDUP(U708/S708,-1)</f>
        <v>166670</v>
      </c>
      <c r="P708" s="1366"/>
      <c r="Q708" s="1366"/>
      <c r="R708" s="913" t="s">
        <v>733</v>
      </c>
      <c r="S708" s="915">
        <v>12</v>
      </c>
      <c r="T708" s="916" t="s">
        <v>615</v>
      </c>
      <c r="U708" s="988">
        <v>2000000</v>
      </c>
      <c r="AE708" s="1054"/>
    </row>
    <row r="709" spans="1:31" ht="21.75" customHeight="1" x14ac:dyDescent="0.15">
      <c r="A709" s="569"/>
      <c r="B709" s="585"/>
      <c r="C709" s="994" t="s">
        <v>120</v>
      </c>
      <c r="D709" s="962">
        <v>14006870</v>
      </c>
      <c r="E709" s="963">
        <f>SUM(H709:K709)</f>
        <v>14170000</v>
      </c>
      <c r="F709" s="963">
        <f>E709-D709</f>
        <v>163130</v>
      </c>
      <c r="G709" s="964">
        <f>F709/D709*100</f>
        <v>1.1646427788649427</v>
      </c>
      <c r="H709" s="965">
        <v>6106870</v>
      </c>
      <c r="I709" s="974"/>
      <c r="J709" s="974">
        <v>1000000</v>
      </c>
      <c r="K709" s="967">
        <v>7063130</v>
      </c>
      <c r="L709" s="968" t="s">
        <v>815</v>
      </c>
      <c r="M709" s="969"/>
      <c r="N709" s="970"/>
      <c r="O709" s="969"/>
      <c r="P709" s="971"/>
      <c r="Q709" s="969"/>
      <c r="R709" s="972"/>
      <c r="S709" s="969"/>
      <c r="T709" s="969"/>
      <c r="U709" s="1008">
        <f>SUM(U710:U716)</f>
        <v>14170000</v>
      </c>
      <c r="V709" s="544">
        <f>U709-E709</f>
        <v>0</v>
      </c>
      <c r="AC709" s="1214">
        <f>K709</f>
        <v>7063130</v>
      </c>
      <c r="AE709" s="1054"/>
    </row>
    <row r="710" spans="1:31" ht="21.75" customHeight="1" x14ac:dyDescent="0.15">
      <c r="A710" s="569"/>
      <c r="B710" s="585"/>
      <c r="C710" s="585"/>
      <c r="D710" s="571"/>
      <c r="E710" s="572"/>
      <c r="F710" s="573"/>
      <c r="G710" s="609"/>
      <c r="H710" s="602"/>
      <c r="I710" s="99"/>
      <c r="J710" s="99"/>
      <c r="K710" s="955"/>
      <c r="L710" s="1367" t="s">
        <v>785</v>
      </c>
      <c r="M710" s="1368"/>
      <c r="N710" s="1368"/>
      <c r="O710" s="1366">
        <v>140000</v>
      </c>
      <c r="P710" s="1366"/>
      <c r="Q710" s="1366"/>
      <c r="R710" s="913" t="s">
        <v>733</v>
      </c>
      <c r="S710" s="915">
        <v>12</v>
      </c>
      <c r="T710" s="916" t="s">
        <v>615</v>
      </c>
      <c r="U710" s="988">
        <f t="shared" ref="U710:U715" si="44">O710*S710</f>
        <v>1680000</v>
      </c>
      <c r="AE710" s="1054"/>
    </row>
    <row r="711" spans="1:31" ht="21.75" customHeight="1" x14ac:dyDescent="0.15">
      <c r="A711" s="569"/>
      <c r="B711" s="585"/>
      <c r="C711" s="585"/>
      <c r="D711" s="571"/>
      <c r="E711" s="572"/>
      <c r="F711" s="573"/>
      <c r="G711" s="609"/>
      <c r="H711" s="602"/>
      <c r="I711" s="99"/>
      <c r="J711" s="99"/>
      <c r="K711" s="955"/>
      <c r="L711" s="1367" t="s">
        <v>786</v>
      </c>
      <c r="M711" s="1368"/>
      <c r="N711" s="1368"/>
      <c r="O711" s="1366">
        <v>120000</v>
      </c>
      <c r="P711" s="1366"/>
      <c r="Q711" s="1366"/>
      <c r="R711" s="913" t="s">
        <v>733</v>
      </c>
      <c r="S711" s="915">
        <v>12</v>
      </c>
      <c r="T711" s="916" t="s">
        <v>615</v>
      </c>
      <c r="U711" s="988">
        <f t="shared" si="44"/>
        <v>1440000</v>
      </c>
      <c r="AE711" s="1054"/>
    </row>
    <row r="712" spans="1:31" ht="21.75" customHeight="1" x14ac:dyDescent="0.15">
      <c r="A712" s="569"/>
      <c r="B712" s="585"/>
      <c r="C712" s="585"/>
      <c r="D712" s="571"/>
      <c r="E712" s="572"/>
      <c r="F712" s="573"/>
      <c r="G712" s="609"/>
      <c r="H712" s="602"/>
      <c r="I712" s="99"/>
      <c r="J712" s="99"/>
      <c r="K712" s="955"/>
      <c r="L712" s="1367" t="s">
        <v>1129</v>
      </c>
      <c r="M712" s="1368"/>
      <c r="N712" s="1368"/>
      <c r="O712" s="1366">
        <v>800000</v>
      </c>
      <c r="P712" s="1366"/>
      <c r="Q712" s="1366"/>
      <c r="R712" s="913" t="s">
        <v>733</v>
      </c>
      <c r="S712" s="989">
        <v>9</v>
      </c>
      <c r="T712" s="916" t="s">
        <v>615</v>
      </c>
      <c r="U712" s="988">
        <f t="shared" si="44"/>
        <v>7200000</v>
      </c>
      <c r="AE712" s="1054"/>
    </row>
    <row r="713" spans="1:31" ht="21.75" customHeight="1" x14ac:dyDescent="0.15">
      <c r="A713" s="569"/>
      <c r="B713" s="585"/>
      <c r="C713" s="585"/>
      <c r="D713" s="571"/>
      <c r="E713" s="572"/>
      <c r="F713" s="573"/>
      <c r="G713" s="609"/>
      <c r="H713" s="602"/>
      <c r="I713" s="99"/>
      <c r="J713" s="99"/>
      <c r="K713" s="955"/>
      <c r="L713" s="1367" t="s">
        <v>787</v>
      </c>
      <c r="M713" s="1368"/>
      <c r="N713" s="1368"/>
      <c r="O713" s="1366">
        <v>2500000</v>
      </c>
      <c r="P713" s="1366"/>
      <c r="Q713" s="1366"/>
      <c r="R713" s="913" t="s">
        <v>733</v>
      </c>
      <c r="S713" s="989">
        <v>1</v>
      </c>
      <c r="T713" s="916" t="s">
        <v>615</v>
      </c>
      <c r="U713" s="988">
        <f>O713*S713</f>
        <v>2500000</v>
      </c>
      <c r="AE713" s="1054"/>
    </row>
    <row r="714" spans="1:31" ht="21.75" customHeight="1" x14ac:dyDescent="0.15">
      <c r="A714" s="569"/>
      <c r="B714" s="585"/>
      <c r="C714" s="585"/>
      <c r="D714" s="571"/>
      <c r="E714" s="572"/>
      <c r="F714" s="573"/>
      <c r="G714" s="609"/>
      <c r="H714" s="602"/>
      <c r="I714" s="99"/>
      <c r="J714" s="99"/>
      <c r="K714" s="955"/>
      <c r="L714" s="1367" t="s">
        <v>788</v>
      </c>
      <c r="M714" s="1368"/>
      <c r="N714" s="1368"/>
      <c r="O714" s="1366">
        <v>400000</v>
      </c>
      <c r="P714" s="1366"/>
      <c r="Q714" s="1366"/>
      <c r="R714" s="913" t="s">
        <v>733</v>
      </c>
      <c r="S714" s="989">
        <v>1</v>
      </c>
      <c r="T714" s="916" t="s">
        <v>615</v>
      </c>
      <c r="U714" s="988">
        <f t="shared" si="44"/>
        <v>400000</v>
      </c>
      <c r="AE714" s="1054"/>
    </row>
    <row r="715" spans="1:31" ht="21.75" customHeight="1" x14ac:dyDescent="0.15">
      <c r="A715" s="569"/>
      <c r="B715" s="585"/>
      <c r="C715" s="585"/>
      <c r="D715" s="571"/>
      <c r="E715" s="572"/>
      <c r="F715" s="573"/>
      <c r="G715" s="609"/>
      <c r="H715" s="602"/>
      <c r="I715" s="99"/>
      <c r="J715" s="99"/>
      <c r="K715" s="955"/>
      <c r="L715" s="1367" t="s">
        <v>789</v>
      </c>
      <c r="M715" s="1368"/>
      <c r="N715" s="1368"/>
      <c r="O715" s="1366">
        <v>450000</v>
      </c>
      <c r="P715" s="1366"/>
      <c r="Q715" s="1366"/>
      <c r="R715" s="913" t="s">
        <v>733</v>
      </c>
      <c r="S715" s="989">
        <v>1</v>
      </c>
      <c r="T715" s="916" t="s">
        <v>615</v>
      </c>
      <c r="U715" s="988">
        <f t="shared" si="44"/>
        <v>450000</v>
      </c>
      <c r="AE715" s="1054"/>
    </row>
    <row r="716" spans="1:31" ht="21.75" customHeight="1" x14ac:dyDescent="0.15">
      <c r="A716" s="569"/>
      <c r="B716" s="585"/>
      <c r="C716" s="585"/>
      <c r="D716" s="571"/>
      <c r="E716" s="572"/>
      <c r="F716" s="573"/>
      <c r="G716" s="609"/>
      <c r="H716" s="602"/>
      <c r="I716" s="99"/>
      <c r="J716" s="99"/>
      <c r="K716" s="955"/>
      <c r="L716" s="1367" t="s">
        <v>790</v>
      </c>
      <c r="M716" s="1368"/>
      <c r="N716" s="1368"/>
      <c r="O716" s="1366">
        <f>ROUNDUP(U716/S716,-1)</f>
        <v>500000</v>
      </c>
      <c r="P716" s="1366"/>
      <c r="Q716" s="1366"/>
      <c r="R716" s="913" t="s">
        <v>733</v>
      </c>
      <c r="S716" s="989">
        <v>1</v>
      </c>
      <c r="T716" s="916" t="s">
        <v>615</v>
      </c>
      <c r="U716" s="988">
        <v>500000</v>
      </c>
      <c r="AE716" s="1054"/>
    </row>
    <row r="717" spans="1:31" ht="21.75" customHeight="1" x14ac:dyDescent="0.15">
      <c r="A717" s="569"/>
      <c r="B717" s="585"/>
      <c r="C717" s="994" t="s">
        <v>121</v>
      </c>
      <c r="D717" s="962">
        <v>39000000</v>
      </c>
      <c r="E717" s="963">
        <f>SUM(H717:K717)</f>
        <v>50000000</v>
      </c>
      <c r="F717" s="963">
        <f>E717-D717</f>
        <v>11000000</v>
      </c>
      <c r="G717" s="964">
        <f>F717/D717*100</f>
        <v>28.205128205128204</v>
      </c>
      <c r="H717" s="965">
        <v>4000000</v>
      </c>
      <c r="I717" s="974"/>
      <c r="J717" s="974">
        <f>자부담세출!F43-자부담세출!T43</f>
        <v>0</v>
      </c>
      <c r="K717" s="967">
        <v>46000000</v>
      </c>
      <c r="L717" s="968" t="s">
        <v>816</v>
      </c>
      <c r="M717" s="973"/>
      <c r="N717" s="970"/>
      <c r="O717" s="969"/>
      <c r="P717" s="971"/>
      <c r="Q717" s="969"/>
      <c r="R717" s="972"/>
      <c r="S717" s="969"/>
      <c r="T717" s="969"/>
      <c r="U717" s="1008">
        <f>SUM(U718:U719)</f>
        <v>50000000</v>
      </c>
      <c r="V717" s="544">
        <f>U717-E717</f>
        <v>0</v>
      </c>
      <c r="AC717" s="1214">
        <f>K717</f>
        <v>46000000</v>
      </c>
      <c r="AE717" s="1054"/>
    </row>
    <row r="718" spans="1:31" ht="22.5" customHeight="1" x14ac:dyDescent="0.15">
      <c r="A718" s="569"/>
      <c r="B718" s="585"/>
      <c r="C718" s="585"/>
      <c r="D718" s="571"/>
      <c r="E718" s="572"/>
      <c r="F718" s="573"/>
      <c r="G718" s="609"/>
      <c r="H718" s="602"/>
      <c r="I718" s="99"/>
      <c r="J718" s="99"/>
      <c r="K718" s="955"/>
      <c r="L718" s="1367" t="s">
        <v>791</v>
      </c>
      <c r="M718" s="1368"/>
      <c r="N718" s="1368"/>
      <c r="O718" s="1366">
        <f>ROUNDUP(U718/S718,-1)</f>
        <v>3333340</v>
      </c>
      <c r="P718" s="1366"/>
      <c r="Q718" s="1366"/>
      <c r="R718" s="913" t="s">
        <v>733</v>
      </c>
      <c r="S718" s="989">
        <v>12</v>
      </c>
      <c r="T718" s="916" t="s">
        <v>615</v>
      </c>
      <c r="U718" s="988">
        <v>40000000</v>
      </c>
      <c r="AE718" s="1054"/>
    </row>
    <row r="719" spans="1:31" ht="22.5" customHeight="1" x14ac:dyDescent="0.15">
      <c r="A719" s="569"/>
      <c r="B719" s="585"/>
      <c r="C719" s="585"/>
      <c r="D719" s="571"/>
      <c r="E719" s="572"/>
      <c r="F719" s="573"/>
      <c r="G719" s="609"/>
      <c r="H719" s="602"/>
      <c r="I719" s="99"/>
      <c r="J719" s="99"/>
      <c r="K719" s="955"/>
      <c r="L719" s="1367" t="s">
        <v>792</v>
      </c>
      <c r="M719" s="1368"/>
      <c r="N719" s="1368"/>
      <c r="O719" s="1366">
        <f>ROUNDUP(U719/S719,-1)</f>
        <v>833340</v>
      </c>
      <c r="P719" s="1366"/>
      <c r="Q719" s="1366"/>
      <c r="R719" s="913" t="s">
        <v>733</v>
      </c>
      <c r="S719" s="989">
        <v>12</v>
      </c>
      <c r="T719" s="916" t="s">
        <v>615</v>
      </c>
      <c r="U719" s="988">
        <v>10000000</v>
      </c>
      <c r="AE719" s="1054"/>
    </row>
    <row r="720" spans="1:31" ht="21.75" customHeight="1" x14ac:dyDescent="0.15">
      <c r="A720" s="569"/>
      <c r="B720" s="585"/>
      <c r="C720" s="994" t="s">
        <v>122</v>
      </c>
      <c r="D720" s="962">
        <v>6600000</v>
      </c>
      <c r="E720" s="963">
        <f>SUM(H720:K720)</f>
        <v>7800000</v>
      </c>
      <c r="F720" s="963">
        <f>E720-D720</f>
        <v>1200000</v>
      </c>
      <c r="G720" s="964">
        <f>F720/D720*100</f>
        <v>18.181818181818183</v>
      </c>
      <c r="H720" s="965">
        <v>0</v>
      </c>
      <c r="I720" s="974">
        <v>2361550</v>
      </c>
      <c r="J720" s="974">
        <v>4000000</v>
      </c>
      <c r="K720" s="967">
        <v>1438450</v>
      </c>
      <c r="L720" s="968" t="s">
        <v>817</v>
      </c>
      <c r="M720" s="969"/>
      <c r="N720" s="970"/>
      <c r="O720" s="969"/>
      <c r="P720" s="971"/>
      <c r="Q720" s="969"/>
      <c r="R720" s="972"/>
      <c r="S720" s="969"/>
      <c r="T720" s="969"/>
      <c r="U720" s="1008">
        <f>SUM(U721:U724)</f>
        <v>7800000</v>
      </c>
      <c r="V720" s="544">
        <f>U720-E720</f>
        <v>0</v>
      </c>
      <c r="AD720" s="1214">
        <f>K720</f>
        <v>1438450</v>
      </c>
      <c r="AE720" s="1054"/>
    </row>
    <row r="721" spans="1:31" ht="21.75" customHeight="1" x14ac:dyDescent="0.15">
      <c r="A721" s="569"/>
      <c r="B721" s="585"/>
      <c r="C721" s="585"/>
      <c r="D721" s="571"/>
      <c r="E721" s="572"/>
      <c r="F721" s="573"/>
      <c r="G721" s="991"/>
      <c r="H721" s="602"/>
      <c r="I721" s="99"/>
      <c r="J721" s="99"/>
      <c r="K721" s="955"/>
      <c r="L721" s="1367" t="s">
        <v>793</v>
      </c>
      <c r="M721" s="1368"/>
      <c r="N721" s="1368"/>
      <c r="O721" s="1366">
        <v>2500000</v>
      </c>
      <c r="P721" s="1366"/>
      <c r="Q721" s="1366"/>
      <c r="R721" s="913" t="s">
        <v>733</v>
      </c>
      <c r="S721" s="989">
        <v>2</v>
      </c>
      <c r="T721" s="916" t="s">
        <v>615</v>
      </c>
      <c r="U721" s="988">
        <f>O721*S721</f>
        <v>5000000</v>
      </c>
      <c r="AE721" s="1054"/>
    </row>
    <row r="722" spans="1:31" ht="21.75" customHeight="1" x14ac:dyDescent="0.15">
      <c r="A722" s="569"/>
      <c r="B722" s="585"/>
      <c r="C722" s="585"/>
      <c r="D722" s="571"/>
      <c r="E722" s="572"/>
      <c r="F722" s="573"/>
      <c r="G722" s="991"/>
      <c r="H722" s="602"/>
      <c r="I722" s="99"/>
      <c r="J722" s="99"/>
      <c r="K722" s="955"/>
      <c r="L722" s="1367" t="s">
        <v>794</v>
      </c>
      <c r="M722" s="1368"/>
      <c r="N722" s="1368"/>
      <c r="O722" s="1366">
        <v>1000000</v>
      </c>
      <c r="P722" s="1366"/>
      <c r="Q722" s="1366"/>
      <c r="R722" s="913" t="s">
        <v>733</v>
      </c>
      <c r="S722" s="989">
        <v>1</v>
      </c>
      <c r="T722" s="916" t="s">
        <v>615</v>
      </c>
      <c r="U722" s="988">
        <f>O722*S722</f>
        <v>1000000</v>
      </c>
      <c r="AE722" s="1054"/>
    </row>
    <row r="723" spans="1:31" ht="21.75" customHeight="1" x14ac:dyDescent="0.15">
      <c r="A723" s="569"/>
      <c r="B723" s="585"/>
      <c r="C723" s="585"/>
      <c r="D723" s="571"/>
      <c r="E723" s="572"/>
      <c r="F723" s="573"/>
      <c r="G723" s="991"/>
      <c r="H723" s="602"/>
      <c r="I723" s="99"/>
      <c r="J723" s="99"/>
      <c r="K723" s="955"/>
      <c r="L723" s="1367" t="s">
        <v>795</v>
      </c>
      <c r="M723" s="1368"/>
      <c r="N723" s="1368"/>
      <c r="O723" s="1366">
        <v>10000</v>
      </c>
      <c r="P723" s="1366"/>
      <c r="Q723" s="1366"/>
      <c r="R723" s="913" t="s">
        <v>733</v>
      </c>
      <c r="S723" s="989">
        <v>80</v>
      </c>
      <c r="T723" s="916" t="s">
        <v>615</v>
      </c>
      <c r="U723" s="988">
        <f>O723*S723</f>
        <v>800000</v>
      </c>
      <c r="AE723" s="1054"/>
    </row>
    <row r="724" spans="1:31" ht="21.75" customHeight="1" x14ac:dyDescent="0.15">
      <c r="A724" s="569"/>
      <c r="B724" s="585"/>
      <c r="C724" s="585"/>
      <c r="D724" s="571"/>
      <c r="E724" s="572"/>
      <c r="F724" s="573"/>
      <c r="G724" s="991"/>
      <c r="H724" s="602"/>
      <c r="I724" s="99"/>
      <c r="J724" s="99"/>
      <c r="K724" s="955"/>
      <c r="L724" s="1367" t="s">
        <v>1333</v>
      </c>
      <c r="M724" s="1368"/>
      <c r="N724" s="1368"/>
      <c r="O724" s="1366">
        <v>1000000</v>
      </c>
      <c r="P724" s="1366"/>
      <c r="Q724" s="1366"/>
      <c r="R724" s="913" t="s">
        <v>733</v>
      </c>
      <c r="S724" s="989">
        <v>1</v>
      </c>
      <c r="T724" s="916" t="s">
        <v>615</v>
      </c>
      <c r="U724" s="988">
        <f>O724*S724</f>
        <v>1000000</v>
      </c>
      <c r="AE724" s="1054"/>
    </row>
    <row r="725" spans="1:31" ht="21.75" customHeight="1" x14ac:dyDescent="0.15">
      <c r="A725" s="586" t="s">
        <v>123</v>
      </c>
      <c r="B725" s="587" t="s">
        <v>91</v>
      </c>
      <c r="C725" s="587"/>
      <c r="D725" s="588">
        <v>201575500</v>
      </c>
      <c r="E725" s="588">
        <f>E726</f>
        <v>146933378</v>
      </c>
      <c r="F725" s="589">
        <f>E725-D725</f>
        <v>-54642122</v>
      </c>
      <c r="G725" s="943">
        <f>F725/D725*100</f>
        <v>-27.107521499388564</v>
      </c>
      <c r="H725" s="604">
        <f>H726</f>
        <v>14256500</v>
      </c>
      <c r="I725" s="98">
        <f>I726</f>
        <v>0</v>
      </c>
      <c r="J725" s="98">
        <f>J726</f>
        <v>0</v>
      </c>
      <c r="K725" s="957">
        <f>K726</f>
        <v>132676878</v>
      </c>
      <c r="L725" s="997" t="s">
        <v>861</v>
      </c>
      <c r="M725" s="590"/>
      <c r="N725" s="590"/>
      <c r="O725" s="590"/>
      <c r="P725" s="590"/>
      <c r="Q725" s="590"/>
      <c r="R725" s="590"/>
      <c r="S725" s="590"/>
      <c r="T725" s="590"/>
      <c r="U725" s="1012">
        <f>U726</f>
        <v>186933378</v>
      </c>
      <c r="AE725" s="1054"/>
    </row>
    <row r="726" spans="1:31" ht="21.75" customHeight="1" x14ac:dyDescent="0.15">
      <c r="A726" s="569"/>
      <c r="B726" s="583" t="s">
        <v>124</v>
      </c>
      <c r="C726" s="583" t="s">
        <v>93</v>
      </c>
      <c r="D726" s="591">
        <v>201575500</v>
      </c>
      <c r="E726" s="591">
        <f>SUM(E727:E741)</f>
        <v>146933378</v>
      </c>
      <c r="F726" s="580">
        <f>E726-D726</f>
        <v>-54642122</v>
      </c>
      <c r="G726" s="941">
        <f>F726/D726*100</f>
        <v>-27.107521499388564</v>
      </c>
      <c r="H726" s="603">
        <f>SUM(H727:H741)</f>
        <v>14256500</v>
      </c>
      <c r="I726" s="581">
        <f>SUM(I727:I741)</f>
        <v>0</v>
      </c>
      <c r="J726" s="581">
        <f>SUM(J727:J741)</f>
        <v>0</v>
      </c>
      <c r="K726" s="956">
        <f>SUM(K727:K741)</f>
        <v>132676878</v>
      </c>
      <c r="L726" s="998" t="s">
        <v>860</v>
      </c>
      <c r="M726" s="592"/>
      <c r="N726" s="592"/>
      <c r="O726" s="592"/>
      <c r="P726" s="592"/>
      <c r="Q726" s="592"/>
      <c r="R726" s="592"/>
      <c r="S726" s="592"/>
      <c r="T726" s="592"/>
      <c r="U726" s="1010">
        <f>U727+U734+U741</f>
        <v>186933378</v>
      </c>
      <c r="AE726" s="1054"/>
    </row>
    <row r="727" spans="1:31" ht="21.75" customHeight="1" x14ac:dyDescent="0.15">
      <c r="A727" s="569"/>
      <c r="B727" s="585"/>
      <c r="C727" s="994" t="s">
        <v>124</v>
      </c>
      <c r="D727" s="962">
        <v>70000000</v>
      </c>
      <c r="E727" s="963">
        <f>SUM(H727:K727)</f>
        <v>86000000</v>
      </c>
      <c r="F727" s="963">
        <f>E727-D727</f>
        <v>16000000</v>
      </c>
      <c r="G727" s="964">
        <v>0</v>
      </c>
      <c r="H727" s="965">
        <v>0</v>
      </c>
      <c r="I727" s="974"/>
      <c r="J727" s="974">
        <f>자부담세출!U47</f>
        <v>0</v>
      </c>
      <c r="K727" s="967">
        <v>86000000</v>
      </c>
      <c r="L727" s="968" t="s">
        <v>818</v>
      </c>
      <c r="M727" s="969"/>
      <c r="N727" s="970"/>
      <c r="O727" s="969"/>
      <c r="P727" s="971"/>
      <c r="Q727" s="969"/>
      <c r="R727" s="972"/>
      <c r="S727" s="969"/>
      <c r="T727" s="969"/>
      <c r="U727" s="1008">
        <f>SUM(U728:U733)</f>
        <v>106000000</v>
      </c>
      <c r="V727" s="544">
        <f>U727-E727</f>
        <v>20000000</v>
      </c>
      <c r="AD727" s="1214">
        <f>K727</f>
        <v>86000000</v>
      </c>
      <c r="AE727" s="1054"/>
    </row>
    <row r="728" spans="1:31" ht="21.75" customHeight="1" x14ac:dyDescent="0.15">
      <c r="A728" s="569"/>
      <c r="B728" s="570"/>
      <c r="C728" s="570"/>
      <c r="D728" s="571"/>
      <c r="E728" s="572"/>
      <c r="F728" s="573"/>
      <c r="G728" s="609"/>
      <c r="H728" s="602"/>
      <c r="I728" s="99"/>
      <c r="J728" s="99"/>
      <c r="K728" s="955"/>
      <c r="L728" s="1367" t="s">
        <v>1306</v>
      </c>
      <c r="M728" s="1368"/>
      <c r="N728" s="1368"/>
      <c r="O728" s="1366">
        <v>26000000</v>
      </c>
      <c r="P728" s="1366"/>
      <c r="Q728" s="1366"/>
      <c r="R728" s="913" t="s">
        <v>733</v>
      </c>
      <c r="S728" s="989">
        <v>1</v>
      </c>
      <c r="T728" s="916" t="s">
        <v>615</v>
      </c>
      <c r="U728" s="988">
        <f t="shared" ref="U728:U733" si="45">O728*S728</f>
        <v>26000000</v>
      </c>
      <c r="AE728" s="1054"/>
    </row>
    <row r="729" spans="1:31" ht="21.75" customHeight="1" x14ac:dyDescent="0.15">
      <c r="A729" s="569"/>
      <c r="B729" s="570"/>
      <c r="C729" s="570"/>
      <c r="D729" s="571"/>
      <c r="E729" s="572"/>
      <c r="F729" s="573"/>
      <c r="G729" s="609"/>
      <c r="H729" s="602"/>
      <c r="I729" s="99"/>
      <c r="J729" s="99"/>
      <c r="K729" s="955"/>
      <c r="L729" s="1367" t="s">
        <v>1307</v>
      </c>
      <c r="M729" s="1368"/>
      <c r="N729" s="1368"/>
      <c r="O729" s="1366">
        <v>25000000</v>
      </c>
      <c r="P729" s="1366"/>
      <c r="Q729" s="1366"/>
      <c r="R729" s="913" t="s">
        <v>733</v>
      </c>
      <c r="S729" s="989">
        <v>1</v>
      </c>
      <c r="T729" s="916" t="s">
        <v>615</v>
      </c>
      <c r="U729" s="988">
        <f t="shared" si="45"/>
        <v>25000000</v>
      </c>
      <c r="AE729" s="1054"/>
    </row>
    <row r="730" spans="1:31" ht="21.75" customHeight="1" x14ac:dyDescent="0.15">
      <c r="A730" s="569"/>
      <c r="B730" s="570"/>
      <c r="C730" s="570"/>
      <c r="D730" s="571"/>
      <c r="E730" s="572"/>
      <c r="F730" s="573"/>
      <c r="G730" s="609"/>
      <c r="H730" s="602"/>
      <c r="I730" s="99"/>
      <c r="J730" s="99"/>
      <c r="K730" s="955"/>
      <c r="L730" s="1367" t="s">
        <v>1308</v>
      </c>
      <c r="M730" s="1368"/>
      <c r="N730" s="1368"/>
      <c r="O730" s="1366">
        <v>55000000</v>
      </c>
      <c r="P730" s="1366"/>
      <c r="Q730" s="1366"/>
      <c r="R730" s="913" t="s">
        <v>733</v>
      </c>
      <c r="S730" s="989">
        <v>1</v>
      </c>
      <c r="T730" s="916" t="s">
        <v>615</v>
      </c>
      <c r="U730" s="988">
        <f t="shared" si="45"/>
        <v>55000000</v>
      </c>
      <c r="AE730" s="1054"/>
    </row>
    <row r="731" spans="1:31" ht="21.75" customHeight="1" x14ac:dyDescent="0.15">
      <c r="A731" s="569"/>
      <c r="B731" s="570"/>
      <c r="C731" s="570"/>
      <c r="D731" s="571"/>
      <c r="E731" s="572"/>
      <c r="F731" s="573"/>
      <c r="G731" s="609"/>
      <c r="H731" s="602"/>
      <c r="I731" s="99"/>
      <c r="J731" s="99"/>
      <c r="K731" s="955"/>
      <c r="L731" s="1367"/>
      <c r="M731" s="1368"/>
      <c r="N731" s="1368"/>
      <c r="O731" s="1366"/>
      <c r="P731" s="1366"/>
      <c r="Q731" s="1366"/>
      <c r="R731" s="913" t="s">
        <v>733</v>
      </c>
      <c r="S731" s="989">
        <v>2</v>
      </c>
      <c r="T731" s="916" t="s">
        <v>615</v>
      </c>
      <c r="U731" s="988">
        <f t="shared" si="45"/>
        <v>0</v>
      </c>
      <c r="AE731" s="1054"/>
    </row>
    <row r="732" spans="1:31" ht="21.75" hidden="1" customHeight="1" x14ac:dyDescent="0.15">
      <c r="A732" s="569"/>
      <c r="B732" s="570"/>
      <c r="C732" s="570"/>
      <c r="D732" s="571"/>
      <c r="E732" s="572"/>
      <c r="F732" s="573"/>
      <c r="G732" s="609"/>
      <c r="H732" s="602"/>
      <c r="I732" s="99"/>
      <c r="J732" s="99"/>
      <c r="K732" s="955"/>
      <c r="L732" s="1367"/>
      <c r="M732" s="1368"/>
      <c r="N732" s="1368"/>
      <c r="O732" s="1366"/>
      <c r="P732" s="1366"/>
      <c r="Q732" s="1366"/>
      <c r="R732" s="913" t="s">
        <v>733</v>
      </c>
      <c r="S732" s="989">
        <v>12</v>
      </c>
      <c r="T732" s="916" t="s">
        <v>615</v>
      </c>
      <c r="U732" s="988">
        <f t="shared" si="45"/>
        <v>0</v>
      </c>
      <c r="AE732" s="1054"/>
    </row>
    <row r="733" spans="1:31" ht="21.75" hidden="1" customHeight="1" x14ac:dyDescent="0.15">
      <c r="A733" s="569"/>
      <c r="B733" s="570"/>
      <c r="C733" s="570"/>
      <c r="D733" s="571"/>
      <c r="E733" s="572"/>
      <c r="F733" s="573"/>
      <c r="G733" s="609"/>
      <c r="H733" s="602"/>
      <c r="I733" s="99"/>
      <c r="J733" s="99"/>
      <c r="K733" s="955"/>
      <c r="L733" s="1367"/>
      <c r="M733" s="1368"/>
      <c r="N733" s="1368"/>
      <c r="O733" s="1366"/>
      <c r="P733" s="1366"/>
      <c r="Q733" s="1366"/>
      <c r="R733" s="913" t="s">
        <v>733</v>
      </c>
      <c r="S733" s="989">
        <v>12</v>
      </c>
      <c r="T733" s="916" t="s">
        <v>615</v>
      </c>
      <c r="U733" s="988">
        <f t="shared" si="45"/>
        <v>0</v>
      </c>
      <c r="AE733" s="1054"/>
    </row>
    <row r="734" spans="1:31" ht="21.75" customHeight="1" x14ac:dyDescent="0.15">
      <c r="A734" s="569"/>
      <c r="B734" s="570"/>
      <c r="C734" s="961" t="s">
        <v>125</v>
      </c>
      <c r="D734" s="962">
        <v>70000000</v>
      </c>
      <c r="E734" s="963">
        <f>SUM(H734:K734)</f>
        <v>19156157</v>
      </c>
      <c r="F734" s="963">
        <f>E734-D734</f>
        <v>-50843843</v>
      </c>
      <c r="G734" s="964">
        <f>F734/D734*100</f>
        <v>-72.634061428571428</v>
      </c>
      <c r="H734" s="965">
        <v>0</v>
      </c>
      <c r="I734" s="974"/>
      <c r="J734" s="974">
        <f>자부담세출!U48</f>
        <v>0</v>
      </c>
      <c r="K734" s="967">
        <v>19156157</v>
      </c>
      <c r="L734" s="968" t="s">
        <v>819</v>
      </c>
      <c r="M734" s="969"/>
      <c r="N734" s="970"/>
      <c r="O734" s="969"/>
      <c r="P734" s="995"/>
      <c r="Q734" s="969"/>
      <c r="R734" s="972"/>
      <c r="S734" s="969"/>
      <c r="T734" s="969"/>
      <c r="U734" s="1008">
        <f>SUM(U735:U740)</f>
        <v>39156157</v>
      </c>
      <c r="V734" s="544">
        <f>U734-E734</f>
        <v>20000000</v>
      </c>
      <c r="AD734" s="1214">
        <f>K734</f>
        <v>19156157</v>
      </c>
      <c r="AE734" s="1054"/>
    </row>
    <row r="735" spans="1:31" ht="21.75" customHeight="1" x14ac:dyDescent="0.15">
      <c r="A735" s="569"/>
      <c r="B735" s="570"/>
      <c r="C735" s="570"/>
      <c r="D735" s="571"/>
      <c r="E735" s="572"/>
      <c r="F735" s="573"/>
      <c r="G735" s="609"/>
      <c r="H735" s="602"/>
      <c r="I735" s="99"/>
      <c r="J735" s="99"/>
      <c r="K735" s="955"/>
      <c r="L735" s="1367" t="s">
        <v>799</v>
      </c>
      <c r="M735" s="1368"/>
      <c r="N735" s="1368"/>
      <c r="O735" s="1366">
        <v>292287</v>
      </c>
      <c r="P735" s="1366"/>
      <c r="Q735" s="1366"/>
      <c r="R735" s="913" t="s">
        <v>733</v>
      </c>
      <c r="S735" s="989">
        <v>3</v>
      </c>
      <c r="T735" s="916" t="s">
        <v>615</v>
      </c>
      <c r="U735" s="988">
        <f>O735*S735</f>
        <v>876861</v>
      </c>
      <c r="AE735" s="1054"/>
    </row>
    <row r="736" spans="1:31" ht="21.75" customHeight="1" x14ac:dyDescent="0.15">
      <c r="A736" s="569"/>
      <c r="B736" s="570"/>
      <c r="C736" s="570"/>
      <c r="D736" s="571"/>
      <c r="E736" s="572"/>
      <c r="F736" s="573"/>
      <c r="G736" s="609"/>
      <c r="H736" s="602"/>
      <c r="I736" s="99"/>
      <c r="J736" s="99"/>
      <c r="K736" s="955"/>
      <c r="L736" s="1367" t="s">
        <v>796</v>
      </c>
      <c r="M736" s="1368"/>
      <c r="N736" s="1368"/>
      <c r="O736" s="1366">
        <v>719824</v>
      </c>
      <c r="P736" s="1366"/>
      <c r="Q736" s="1366"/>
      <c r="R736" s="913" t="s">
        <v>733</v>
      </c>
      <c r="S736" s="989">
        <v>4</v>
      </c>
      <c r="T736" s="916" t="s">
        <v>615</v>
      </c>
      <c r="U736" s="988">
        <f>O736*S736</f>
        <v>2879296</v>
      </c>
      <c r="AE736" s="1054"/>
    </row>
    <row r="737" spans="1:31" ht="21.75" customHeight="1" x14ac:dyDescent="0.15">
      <c r="A737" s="569"/>
      <c r="B737" s="570"/>
      <c r="C737" s="570"/>
      <c r="D737" s="571"/>
      <c r="E737" s="572"/>
      <c r="F737" s="573"/>
      <c r="G737" s="609"/>
      <c r="H737" s="602"/>
      <c r="I737" s="99"/>
      <c r="J737" s="99"/>
      <c r="K737" s="955"/>
      <c r="L737" s="1367" t="s">
        <v>1304</v>
      </c>
      <c r="M737" s="1368"/>
      <c r="N737" s="1368"/>
      <c r="O737" s="1366">
        <v>20000000</v>
      </c>
      <c r="P737" s="1366"/>
      <c r="Q737" s="1366"/>
      <c r="R737" s="913" t="s">
        <v>733</v>
      </c>
      <c r="S737" s="989">
        <v>1</v>
      </c>
      <c r="T737" s="916" t="s">
        <v>615</v>
      </c>
      <c r="U737" s="988">
        <f>O737*S737</f>
        <v>20000000</v>
      </c>
      <c r="AE737" s="1054"/>
    </row>
    <row r="738" spans="1:31" ht="21.75" customHeight="1" x14ac:dyDescent="0.15">
      <c r="A738" s="569"/>
      <c r="B738" s="570"/>
      <c r="C738" s="570"/>
      <c r="D738" s="571"/>
      <c r="E738" s="572"/>
      <c r="F738" s="573"/>
      <c r="G738" s="609"/>
      <c r="H738" s="602"/>
      <c r="I738" s="99"/>
      <c r="J738" s="99"/>
      <c r="K738" s="955"/>
      <c r="L738" s="1367" t="s">
        <v>1305</v>
      </c>
      <c r="M738" s="1368"/>
      <c r="N738" s="1368"/>
      <c r="O738" s="1366">
        <v>700000</v>
      </c>
      <c r="P738" s="1366"/>
      <c r="Q738" s="1366"/>
      <c r="R738" s="913" t="s">
        <v>733</v>
      </c>
      <c r="S738" s="989">
        <v>12</v>
      </c>
      <c r="T738" s="916" t="s">
        <v>615</v>
      </c>
      <c r="U738" s="988">
        <f>O738*S738</f>
        <v>8400000</v>
      </c>
      <c r="AE738" s="1054"/>
    </row>
    <row r="739" spans="1:31" ht="21.75" customHeight="1" x14ac:dyDescent="0.15">
      <c r="A739" s="569"/>
      <c r="B739" s="570"/>
      <c r="C739" s="570"/>
      <c r="D739" s="571"/>
      <c r="E739" s="572"/>
      <c r="F739" s="573"/>
      <c r="G739" s="609"/>
      <c r="H739" s="602"/>
      <c r="I739" s="99"/>
      <c r="J739" s="99"/>
      <c r="K739" s="955"/>
      <c r="L739" s="1367" t="s">
        <v>797</v>
      </c>
      <c r="M739" s="1368"/>
      <c r="N739" s="1368"/>
      <c r="O739" s="1366">
        <v>5000000</v>
      </c>
      <c r="P739" s="1366"/>
      <c r="Q739" s="1366"/>
      <c r="R739" s="913" t="s">
        <v>733</v>
      </c>
      <c r="S739" s="989">
        <v>1</v>
      </c>
      <c r="T739" s="916" t="s">
        <v>615</v>
      </c>
      <c r="U739" s="988">
        <f>O739*S739</f>
        <v>5000000</v>
      </c>
      <c r="AE739" s="1054"/>
    </row>
    <row r="740" spans="1:31" ht="21.75" customHeight="1" x14ac:dyDescent="0.15">
      <c r="A740" s="569"/>
      <c r="B740" s="570"/>
      <c r="C740" s="570"/>
      <c r="D740" s="571"/>
      <c r="E740" s="572"/>
      <c r="F740" s="573"/>
      <c r="G740" s="609"/>
      <c r="H740" s="602"/>
      <c r="I740" s="99"/>
      <c r="J740" s="99"/>
      <c r="K740" s="955"/>
      <c r="L740" s="1367" t="s">
        <v>798</v>
      </c>
      <c r="M740" s="1368"/>
      <c r="N740" s="1368"/>
      <c r="O740" s="1366">
        <f>ROUNDUP(U740/S740,-1)</f>
        <v>500000</v>
      </c>
      <c r="P740" s="1366"/>
      <c r="Q740" s="1366"/>
      <c r="R740" s="913" t="s">
        <v>733</v>
      </c>
      <c r="S740" s="989">
        <v>4</v>
      </c>
      <c r="T740" s="916" t="s">
        <v>615</v>
      </c>
      <c r="U740" s="988">
        <v>2000000</v>
      </c>
      <c r="AE740" s="1054"/>
    </row>
    <row r="741" spans="1:31" ht="21.75" customHeight="1" x14ac:dyDescent="0.15">
      <c r="A741" s="569"/>
      <c r="B741" s="570"/>
      <c r="C741" s="961" t="s">
        <v>126</v>
      </c>
      <c r="D741" s="962">
        <v>61575500</v>
      </c>
      <c r="E741" s="963">
        <f>SUM(H741:K741)</f>
        <v>41777221</v>
      </c>
      <c r="F741" s="963">
        <f>E741-D741</f>
        <v>-19798279</v>
      </c>
      <c r="G741" s="964">
        <f>F741/D741*100</f>
        <v>-32.152851377577122</v>
      </c>
      <c r="H741" s="965">
        <v>14256500</v>
      </c>
      <c r="I741" s="974">
        <f>자부담세출!T49</f>
        <v>0</v>
      </c>
      <c r="J741" s="974">
        <v>0</v>
      </c>
      <c r="K741" s="967">
        <v>27520721</v>
      </c>
      <c r="L741" s="992" t="s">
        <v>820</v>
      </c>
      <c r="M741" s="969"/>
      <c r="N741" s="970"/>
      <c r="O741" s="969"/>
      <c r="P741" s="971"/>
      <c r="Q741" s="969"/>
      <c r="R741" s="993"/>
      <c r="S741" s="969"/>
      <c r="T741" s="969"/>
      <c r="U741" s="1008">
        <f>SUM(U742:U756)</f>
        <v>41777221</v>
      </c>
      <c r="V741" s="544">
        <f>E741-U741</f>
        <v>0</v>
      </c>
      <c r="AC741" s="1214">
        <f>K741</f>
        <v>27520721</v>
      </c>
      <c r="AE741" s="1054"/>
    </row>
    <row r="742" spans="1:31" ht="21.75" customHeight="1" x14ac:dyDescent="0.15">
      <c r="A742" s="569"/>
      <c r="B742" s="570"/>
      <c r="C742" s="570"/>
      <c r="D742" s="571"/>
      <c r="E742" s="572"/>
      <c r="F742" s="573"/>
      <c r="G742" s="991"/>
      <c r="H742" s="602"/>
      <c r="I742" s="99"/>
      <c r="J742" s="99"/>
      <c r="K742" s="955"/>
      <c r="L742" s="1367" t="s">
        <v>800</v>
      </c>
      <c r="M742" s="1368"/>
      <c r="N742" s="1368"/>
      <c r="O742" s="1366">
        <v>495000</v>
      </c>
      <c r="P742" s="1366"/>
      <c r="Q742" s="1366"/>
      <c r="R742" s="913" t="s">
        <v>733</v>
      </c>
      <c r="S742" s="989">
        <v>12</v>
      </c>
      <c r="T742" s="916" t="s">
        <v>615</v>
      </c>
      <c r="U742" s="988">
        <f t="shared" ref="U742:U755" si="46">O742*S742</f>
        <v>5940000</v>
      </c>
      <c r="V742" s="1212"/>
      <c r="AE742" s="1054"/>
    </row>
    <row r="743" spans="1:31" ht="21.75" customHeight="1" x14ac:dyDescent="0.15">
      <c r="A743" s="569"/>
      <c r="B743" s="570"/>
      <c r="C743" s="570"/>
      <c r="D743" s="571"/>
      <c r="E743" s="572"/>
      <c r="F743" s="573"/>
      <c r="G743" s="991"/>
      <c r="H743" s="602"/>
      <c r="I743" s="99"/>
      <c r="J743" s="99"/>
      <c r="K743" s="955"/>
      <c r="L743" s="1367" t="s">
        <v>801</v>
      </c>
      <c r="M743" s="1368"/>
      <c r="N743" s="1368"/>
      <c r="O743" s="1366">
        <v>385000</v>
      </c>
      <c r="P743" s="1366"/>
      <c r="Q743" s="1366"/>
      <c r="R743" s="913" t="s">
        <v>733</v>
      </c>
      <c r="S743" s="989">
        <v>12</v>
      </c>
      <c r="T743" s="916" t="s">
        <v>615</v>
      </c>
      <c r="U743" s="988">
        <f t="shared" si="46"/>
        <v>4620000</v>
      </c>
      <c r="AE743" s="1054"/>
    </row>
    <row r="744" spans="1:31" ht="21.75" customHeight="1" x14ac:dyDescent="0.15">
      <c r="A744" s="569"/>
      <c r="B744" s="570"/>
      <c r="C744" s="570"/>
      <c r="D744" s="571"/>
      <c r="E744" s="572"/>
      <c r="F744" s="573"/>
      <c r="G744" s="991"/>
      <c r="H744" s="602"/>
      <c r="I744" s="99"/>
      <c r="J744" s="99"/>
      <c r="K744" s="955"/>
      <c r="L744" s="1367" t="s">
        <v>802</v>
      </c>
      <c r="M744" s="1368"/>
      <c r="N744" s="1368"/>
      <c r="O744" s="1366">
        <f>227480+256520</f>
        <v>484000</v>
      </c>
      <c r="P744" s="1366"/>
      <c r="Q744" s="1366"/>
      <c r="R744" s="913" t="s">
        <v>733</v>
      </c>
      <c r="S744" s="989">
        <v>12</v>
      </c>
      <c r="T744" s="916" t="s">
        <v>615</v>
      </c>
      <c r="U744" s="988">
        <f t="shared" si="46"/>
        <v>5808000</v>
      </c>
      <c r="AE744" s="1054"/>
    </row>
    <row r="745" spans="1:31" ht="21.75" customHeight="1" x14ac:dyDescent="0.15">
      <c r="A745" s="569"/>
      <c r="B745" s="570"/>
      <c r="C745" s="570"/>
      <c r="D745" s="571"/>
      <c r="E745" s="572"/>
      <c r="F745" s="573"/>
      <c r="G745" s="991"/>
      <c r="H745" s="602"/>
      <c r="I745" s="99"/>
      <c r="J745" s="99"/>
      <c r="K745" s="955"/>
      <c r="L745" s="1367" t="s">
        <v>803</v>
      </c>
      <c r="M745" s="1368"/>
      <c r="N745" s="1368"/>
      <c r="O745" s="1366">
        <v>381500</v>
      </c>
      <c r="P745" s="1366"/>
      <c r="Q745" s="1366"/>
      <c r="R745" s="913" t="s">
        <v>733</v>
      </c>
      <c r="S745" s="989">
        <v>5</v>
      </c>
      <c r="T745" s="916" t="s">
        <v>615</v>
      </c>
      <c r="U745" s="988">
        <f t="shared" si="46"/>
        <v>1907500</v>
      </c>
      <c r="AE745" s="1054"/>
    </row>
    <row r="746" spans="1:31" ht="21.75" customHeight="1" x14ac:dyDescent="0.15">
      <c r="A746" s="569"/>
      <c r="B746" s="570"/>
      <c r="C746" s="570"/>
      <c r="D746" s="571"/>
      <c r="E746" s="572"/>
      <c r="F746" s="573"/>
      <c r="G746" s="991"/>
      <c r="H746" s="602"/>
      <c r="I746" s="99"/>
      <c r="J746" s="99"/>
      <c r="K746" s="955"/>
      <c r="L746" s="1367" t="s">
        <v>808</v>
      </c>
      <c r="M746" s="1368"/>
      <c r="N746" s="1368"/>
      <c r="O746" s="1366">
        <v>275000</v>
      </c>
      <c r="P746" s="1366"/>
      <c r="Q746" s="1366"/>
      <c r="R746" s="913" t="s">
        <v>733</v>
      </c>
      <c r="S746" s="989">
        <v>12</v>
      </c>
      <c r="T746" s="916" t="s">
        <v>615</v>
      </c>
      <c r="U746" s="988">
        <f t="shared" si="46"/>
        <v>3300000</v>
      </c>
      <c r="AE746" s="1054"/>
    </row>
    <row r="747" spans="1:31" ht="21.75" hidden="1" customHeight="1" x14ac:dyDescent="0.15">
      <c r="A747" s="569"/>
      <c r="B747" s="570"/>
      <c r="C747" s="570"/>
      <c r="D747" s="571"/>
      <c r="E747" s="572"/>
      <c r="F747" s="573"/>
      <c r="G747" s="991"/>
      <c r="H747" s="602"/>
      <c r="I747" s="99"/>
      <c r="J747" s="99"/>
      <c r="K747" s="955"/>
      <c r="L747" s="1367" t="s">
        <v>804</v>
      </c>
      <c r="M747" s="1368"/>
      <c r="N747" s="1368"/>
      <c r="O747" s="1366"/>
      <c r="P747" s="1366"/>
      <c r="Q747" s="1366"/>
      <c r="R747" s="913" t="s">
        <v>733</v>
      </c>
      <c r="S747" s="989">
        <v>1</v>
      </c>
      <c r="T747" s="916" t="s">
        <v>615</v>
      </c>
      <c r="U747" s="988">
        <f>O747*S747</f>
        <v>0</v>
      </c>
      <c r="AE747" s="1054"/>
    </row>
    <row r="748" spans="1:31" ht="21.75" hidden="1" customHeight="1" x14ac:dyDescent="0.15">
      <c r="A748" s="569"/>
      <c r="B748" s="570"/>
      <c r="C748" s="570"/>
      <c r="D748" s="571"/>
      <c r="E748" s="572"/>
      <c r="F748" s="573"/>
      <c r="G748" s="991"/>
      <c r="H748" s="602"/>
      <c r="I748" s="99"/>
      <c r="J748" s="99"/>
      <c r="K748" s="955"/>
      <c r="L748" s="1367"/>
      <c r="M748" s="1368"/>
      <c r="N748" s="1368"/>
      <c r="O748" s="1366"/>
      <c r="P748" s="1366"/>
      <c r="Q748" s="1366"/>
      <c r="R748" s="913" t="s">
        <v>733</v>
      </c>
      <c r="S748" s="989">
        <v>1</v>
      </c>
      <c r="T748" s="916" t="s">
        <v>615</v>
      </c>
      <c r="U748" s="988">
        <f t="shared" si="46"/>
        <v>0</v>
      </c>
      <c r="AE748" s="1054"/>
    </row>
    <row r="749" spans="1:31" ht="21.75" hidden="1" customHeight="1" x14ac:dyDescent="0.15">
      <c r="A749" s="569"/>
      <c r="B749" s="570"/>
      <c r="C749" s="570"/>
      <c r="D749" s="571"/>
      <c r="E749" s="572"/>
      <c r="F749" s="573"/>
      <c r="G749" s="991"/>
      <c r="H749" s="602"/>
      <c r="I749" s="99"/>
      <c r="J749" s="99"/>
      <c r="K749" s="955"/>
      <c r="L749" s="1367" t="s">
        <v>1000</v>
      </c>
      <c r="M749" s="1368"/>
      <c r="N749" s="1368"/>
      <c r="O749" s="1366"/>
      <c r="P749" s="1366"/>
      <c r="Q749" s="1366"/>
      <c r="R749" s="913" t="s">
        <v>733</v>
      </c>
      <c r="S749" s="989">
        <v>1</v>
      </c>
      <c r="T749" s="916" t="s">
        <v>615</v>
      </c>
      <c r="U749" s="988">
        <f t="shared" si="46"/>
        <v>0</v>
      </c>
      <c r="AE749" s="1054"/>
    </row>
    <row r="750" spans="1:31" ht="21.75" customHeight="1" x14ac:dyDescent="0.15">
      <c r="A750" s="569"/>
      <c r="B750" s="570"/>
      <c r="C750" s="570"/>
      <c r="D750" s="571"/>
      <c r="E750" s="572"/>
      <c r="F750" s="573"/>
      <c r="G750" s="991"/>
      <c r="H750" s="602"/>
      <c r="I750" s="99"/>
      <c r="J750" s="99"/>
      <c r="K750" s="955"/>
      <c r="L750" s="1367" t="s">
        <v>805</v>
      </c>
      <c r="M750" s="1368"/>
      <c r="N750" s="1368"/>
      <c r="O750" s="1366">
        <v>5000000</v>
      </c>
      <c r="P750" s="1366"/>
      <c r="Q750" s="1366"/>
      <c r="R750" s="913" t="s">
        <v>733</v>
      </c>
      <c r="S750" s="989">
        <v>1</v>
      </c>
      <c r="T750" s="916" t="s">
        <v>615</v>
      </c>
      <c r="U750" s="988">
        <f t="shared" si="46"/>
        <v>5000000</v>
      </c>
      <c r="AE750" s="1054"/>
    </row>
    <row r="751" spans="1:31" ht="21.75" customHeight="1" x14ac:dyDescent="0.15">
      <c r="A751" s="569"/>
      <c r="B751" s="570"/>
      <c r="C751" s="570"/>
      <c r="D751" s="571"/>
      <c r="E751" s="572"/>
      <c r="F751" s="573"/>
      <c r="G751" s="991"/>
      <c r="H751" s="602"/>
      <c r="I751" s="99"/>
      <c r="J751" s="99"/>
      <c r="K751" s="955"/>
      <c r="L751" s="1367" t="s">
        <v>806</v>
      </c>
      <c r="M751" s="1368"/>
      <c r="N751" s="1368"/>
      <c r="O751" s="1366">
        <v>5000000</v>
      </c>
      <c r="P751" s="1366"/>
      <c r="Q751" s="1366"/>
      <c r="R751" s="913" t="s">
        <v>733</v>
      </c>
      <c r="S751" s="989">
        <v>1</v>
      </c>
      <c r="T751" s="916" t="s">
        <v>615</v>
      </c>
      <c r="U751" s="988">
        <f t="shared" ref="U751" si="47">O751*S751</f>
        <v>5000000</v>
      </c>
      <c r="AE751" s="1054"/>
    </row>
    <row r="752" spans="1:31" ht="21.75" customHeight="1" x14ac:dyDescent="0.15">
      <c r="A752" s="569"/>
      <c r="B752" s="570"/>
      <c r="C752" s="570"/>
      <c r="D752" s="571"/>
      <c r="E752" s="572"/>
      <c r="F752" s="573"/>
      <c r="G752" s="991"/>
      <c r="H752" s="602"/>
      <c r="I752" s="99"/>
      <c r="J752" s="99"/>
      <c r="K752" s="955"/>
      <c r="L752" s="1367" t="s">
        <v>807</v>
      </c>
      <c r="M752" s="1368"/>
      <c r="N752" s="1368"/>
      <c r="O752" s="1366">
        <f>ROUNDUP(U752/S752,-1)</f>
        <v>850150</v>
      </c>
      <c r="P752" s="1366"/>
      <c r="Q752" s="1366"/>
      <c r="R752" s="913" t="s">
        <v>733</v>
      </c>
      <c r="S752" s="989">
        <v>12</v>
      </c>
      <c r="T752" s="916" t="s">
        <v>615</v>
      </c>
      <c r="U752" s="988">
        <v>10201721</v>
      </c>
      <c r="AE752" s="1054"/>
    </row>
    <row r="753" spans="1:31" ht="21.75" customHeight="1" x14ac:dyDescent="0.15">
      <c r="A753" s="569"/>
      <c r="B753" s="570"/>
      <c r="C753" s="570"/>
      <c r="D753" s="571"/>
      <c r="E753" s="572"/>
      <c r="F753" s="573"/>
      <c r="G753" s="991"/>
      <c r="H753" s="602"/>
      <c r="I753" s="99"/>
      <c r="J753" s="99"/>
      <c r="K753" s="955"/>
      <c r="L753" s="1367"/>
      <c r="M753" s="1368"/>
      <c r="N753" s="1368"/>
      <c r="O753" s="1366" t="e">
        <f>ROUNDUP(U753/S753,-1)</f>
        <v>#DIV/0!</v>
      </c>
      <c r="P753" s="1366"/>
      <c r="Q753" s="1366"/>
      <c r="R753" s="913" t="s">
        <v>733</v>
      </c>
      <c r="S753" s="989">
        <v>0</v>
      </c>
      <c r="T753" s="916" t="s">
        <v>615</v>
      </c>
      <c r="U753" s="988"/>
      <c r="AE753" s="1054"/>
    </row>
    <row r="754" spans="1:31" ht="21.75" hidden="1" customHeight="1" x14ac:dyDescent="0.15">
      <c r="A754" s="569"/>
      <c r="B754" s="570"/>
      <c r="C754" s="570"/>
      <c r="D754" s="571"/>
      <c r="E754" s="572"/>
      <c r="F754" s="573"/>
      <c r="G754" s="991"/>
      <c r="H754" s="602"/>
      <c r="I754" s="99"/>
      <c r="J754" s="99"/>
      <c r="K754" s="955"/>
      <c r="L754" s="1367"/>
      <c r="M754" s="1368"/>
      <c r="N754" s="1368"/>
      <c r="O754" s="1366"/>
      <c r="P754" s="1366"/>
      <c r="Q754" s="1366"/>
      <c r="R754" s="913" t="s">
        <v>733</v>
      </c>
      <c r="S754" s="989">
        <v>1</v>
      </c>
      <c r="T754" s="916" t="s">
        <v>615</v>
      </c>
      <c r="U754" s="988"/>
      <c r="AE754" s="1054"/>
    </row>
    <row r="755" spans="1:31" ht="21.75" hidden="1" customHeight="1" x14ac:dyDescent="0.15">
      <c r="A755" s="569"/>
      <c r="B755" s="570"/>
      <c r="C755" s="570"/>
      <c r="D755" s="571"/>
      <c r="E755" s="572"/>
      <c r="F755" s="573"/>
      <c r="G755" s="991"/>
      <c r="H755" s="602"/>
      <c r="I755" s="99"/>
      <c r="J755" s="99"/>
      <c r="K755" s="955"/>
      <c r="L755" s="1367"/>
      <c r="M755" s="1368"/>
      <c r="N755" s="1368"/>
      <c r="O755" s="1366"/>
      <c r="P755" s="1366"/>
      <c r="Q755" s="1366"/>
      <c r="R755" s="913" t="s">
        <v>733</v>
      </c>
      <c r="S755" s="989">
        <v>1</v>
      </c>
      <c r="T755" s="916" t="s">
        <v>615</v>
      </c>
      <c r="U755" s="988">
        <f t="shared" si="46"/>
        <v>0</v>
      </c>
      <c r="AE755" s="1054"/>
    </row>
    <row r="756" spans="1:31" ht="21.75" hidden="1" customHeight="1" x14ac:dyDescent="0.15">
      <c r="A756" s="569"/>
      <c r="B756" s="570"/>
      <c r="C756" s="570"/>
      <c r="D756" s="571"/>
      <c r="E756" s="572"/>
      <c r="F756" s="573"/>
      <c r="G756" s="991"/>
      <c r="H756" s="602"/>
      <c r="I756" s="99"/>
      <c r="J756" s="99"/>
      <c r="K756" s="955"/>
      <c r="L756" s="1367"/>
      <c r="M756" s="1368"/>
      <c r="N756" s="1368"/>
      <c r="O756" s="1366"/>
      <c r="P756" s="1366"/>
      <c r="Q756" s="1366"/>
      <c r="R756" s="913" t="s">
        <v>733</v>
      </c>
      <c r="S756" s="989">
        <v>12</v>
      </c>
      <c r="T756" s="916" t="s">
        <v>615</v>
      </c>
      <c r="U756" s="988">
        <f>O756*S756</f>
        <v>0</v>
      </c>
      <c r="AE756" s="1054"/>
    </row>
    <row r="757" spans="1:31" ht="21.75" customHeight="1" x14ac:dyDescent="0.15">
      <c r="A757" s="586" t="s">
        <v>127</v>
      </c>
      <c r="B757" s="593" t="s">
        <v>91</v>
      </c>
      <c r="C757" s="593"/>
      <c r="D757" s="588">
        <v>467265202</v>
      </c>
      <c r="E757" s="588">
        <f>SUM(E758,E776,E817)</f>
        <v>416354042</v>
      </c>
      <c r="F757" s="589">
        <f>E757-D757</f>
        <v>-50911160</v>
      </c>
      <c r="G757" s="944">
        <f>F757/D757*100</f>
        <v>-10.895559905186349</v>
      </c>
      <c r="H757" s="611">
        <f>SUM(H758,H776,H817)</f>
        <v>264681680</v>
      </c>
      <c r="I757" s="98">
        <f>SUM(I758,I776,I817)</f>
        <v>8000000</v>
      </c>
      <c r="J757" s="98">
        <f>SUM(J758,J776,J817)</f>
        <v>105550000</v>
      </c>
      <c r="K757" s="958">
        <f>SUM(K758,K776,K817)</f>
        <v>38122362</v>
      </c>
      <c r="L757" s="997" t="s">
        <v>826</v>
      </c>
      <c r="M757" s="594"/>
      <c r="N757" s="594"/>
      <c r="O757" s="594"/>
      <c r="P757" s="594"/>
      <c r="Q757" s="594"/>
      <c r="R757" s="594"/>
      <c r="S757" s="594"/>
      <c r="T757" s="594"/>
      <c r="U757" s="1011">
        <f>U758+U776+U817</f>
        <v>414354042</v>
      </c>
      <c r="AE757" s="1054"/>
    </row>
    <row r="758" spans="1:31" ht="21.75" customHeight="1" x14ac:dyDescent="0.15">
      <c r="A758" s="569"/>
      <c r="B758" s="579" t="s">
        <v>116</v>
      </c>
      <c r="C758" s="579" t="s">
        <v>93</v>
      </c>
      <c r="D758" s="591">
        <v>300865740</v>
      </c>
      <c r="E758" s="591">
        <f>SUM(E759:E775)</f>
        <v>295141680</v>
      </c>
      <c r="F758" s="580">
        <f>E758-D758</f>
        <v>-5724060</v>
      </c>
      <c r="G758" s="945">
        <f>F758/D758*100</f>
        <v>-1.9025296798498892</v>
      </c>
      <c r="H758" s="603">
        <f>SUM(H759:H775)</f>
        <v>215141680</v>
      </c>
      <c r="I758" s="581">
        <f>SUM(I759:I775)</f>
        <v>0</v>
      </c>
      <c r="J758" s="581">
        <f>SUM(J759:J775)</f>
        <v>77500000</v>
      </c>
      <c r="K758" s="956">
        <f>SUM(K759:K775)</f>
        <v>2500000</v>
      </c>
      <c r="L758" s="998" t="s">
        <v>755</v>
      </c>
      <c r="M758" s="592"/>
      <c r="N758" s="592"/>
      <c r="O758" s="592"/>
      <c r="P758" s="592"/>
      <c r="Q758" s="592"/>
      <c r="R758" s="592"/>
      <c r="S758" s="592"/>
      <c r="T758" s="592"/>
      <c r="U758" s="1010">
        <f>U759+U766+U771+U773</f>
        <v>289141680</v>
      </c>
      <c r="AE758" s="1054"/>
    </row>
    <row r="759" spans="1:31" ht="21.75" customHeight="1" x14ac:dyDescent="0.15">
      <c r="A759" s="569"/>
      <c r="B759" s="570"/>
      <c r="C759" s="961" t="s">
        <v>128</v>
      </c>
      <c r="D759" s="962">
        <v>255915740</v>
      </c>
      <c r="E759" s="963">
        <f>SUM(H759:K759)</f>
        <v>249641680</v>
      </c>
      <c r="F759" s="963">
        <f>E759-D759</f>
        <v>-6274060</v>
      </c>
      <c r="G759" s="964">
        <f>F759/D759*100</f>
        <v>-2.4516116124783887</v>
      </c>
      <c r="H759" s="965">
        <f>수급자보장급여!G5</f>
        <v>194641680</v>
      </c>
      <c r="I759" s="974">
        <f>자부담세출!T52</f>
        <v>0</v>
      </c>
      <c r="J759" s="974">
        <v>55000000</v>
      </c>
      <c r="K759" s="967"/>
      <c r="L759" s="968" t="s">
        <v>821</v>
      </c>
      <c r="M759" s="969"/>
      <c r="N759" s="970"/>
      <c r="O759" s="969"/>
      <c r="P759" s="971"/>
      <c r="Q759" s="969"/>
      <c r="R759" s="972"/>
      <c r="S759" s="969"/>
      <c r="T759" s="969"/>
      <c r="U759" s="1008">
        <f>SUM(U760:U765)</f>
        <v>249641680</v>
      </c>
      <c r="V759" s="544">
        <f>U759-E759</f>
        <v>0</v>
      </c>
      <c r="AE759" s="1054"/>
    </row>
    <row r="760" spans="1:31" ht="21.75" customHeight="1" x14ac:dyDescent="0.15">
      <c r="A760" s="569"/>
      <c r="B760" s="570"/>
      <c r="C760" s="570"/>
      <c r="D760" s="571"/>
      <c r="E760" s="572"/>
      <c r="F760" s="573"/>
      <c r="G760" s="609"/>
      <c r="H760" s="602"/>
      <c r="I760" s="99"/>
      <c r="J760" s="99"/>
      <c r="K760" s="955"/>
      <c r="L760" s="1367" t="s">
        <v>809</v>
      </c>
      <c r="M760" s="1368"/>
      <c r="N760" s="1368"/>
      <c r="O760" s="1366">
        <f>ROUND(U760/S760,-1)</f>
        <v>18252160</v>
      </c>
      <c r="P760" s="1366"/>
      <c r="Q760" s="1366"/>
      <c r="R760" s="913" t="s">
        <v>733</v>
      </c>
      <c r="S760" s="989">
        <v>12</v>
      </c>
      <c r="T760" s="916" t="s">
        <v>615</v>
      </c>
      <c r="U760" s="988">
        <v>219025940</v>
      </c>
      <c r="AE760" s="1054"/>
    </row>
    <row r="761" spans="1:31" ht="21.75" customHeight="1" x14ac:dyDescent="0.15">
      <c r="A761" s="569"/>
      <c r="B761" s="570"/>
      <c r="C761" s="570"/>
      <c r="D761" s="571"/>
      <c r="E761" s="572"/>
      <c r="F761" s="573"/>
      <c r="G761" s="609"/>
      <c r="H761" s="602"/>
      <c r="I761" s="99"/>
      <c r="J761" s="99"/>
      <c r="K761" s="955"/>
      <c r="L761" s="1367" t="s">
        <v>810</v>
      </c>
      <c r="M761" s="1368"/>
      <c r="N761" s="1368"/>
      <c r="O761" s="1366">
        <v>1500000</v>
      </c>
      <c r="P761" s="1366"/>
      <c r="Q761" s="1366"/>
      <c r="R761" s="913" t="s">
        <v>733</v>
      </c>
      <c r="S761" s="989">
        <v>12</v>
      </c>
      <c r="T761" s="916" t="s">
        <v>615</v>
      </c>
      <c r="U761" s="988">
        <f>O761*S761</f>
        <v>18000000</v>
      </c>
      <c r="AE761" s="1054"/>
    </row>
    <row r="762" spans="1:31" ht="21.75" customHeight="1" x14ac:dyDescent="0.15">
      <c r="A762" s="569"/>
      <c r="B762" s="570"/>
      <c r="C762" s="570"/>
      <c r="D762" s="571"/>
      <c r="E762" s="572"/>
      <c r="F762" s="573"/>
      <c r="G762" s="609"/>
      <c r="H762" s="602"/>
      <c r="I762" s="99"/>
      <c r="J762" s="99"/>
      <c r="K762" s="955"/>
      <c r="L762" s="1367" t="s">
        <v>1004</v>
      </c>
      <c r="M762" s="1368"/>
      <c r="N762" s="1368"/>
      <c r="O762" s="1366">
        <f>ROUND(U762/S762,-1)</f>
        <v>67930</v>
      </c>
      <c r="P762" s="1366"/>
      <c r="Q762" s="1366"/>
      <c r="R762" s="913" t="s">
        <v>733</v>
      </c>
      <c r="S762" s="989">
        <v>60</v>
      </c>
      <c r="T762" s="916" t="s">
        <v>615</v>
      </c>
      <c r="U762" s="988">
        <v>4075740</v>
      </c>
      <c r="AE762" s="1054"/>
    </row>
    <row r="763" spans="1:31" ht="21.75" customHeight="1" x14ac:dyDescent="0.15">
      <c r="A763" s="569"/>
      <c r="B763" s="570"/>
      <c r="C763" s="570"/>
      <c r="D763" s="571"/>
      <c r="E763" s="572"/>
      <c r="F763" s="573"/>
      <c r="G763" s="609"/>
      <c r="H763" s="602"/>
      <c r="I763" s="99"/>
      <c r="J763" s="99"/>
      <c r="K763" s="955"/>
      <c r="L763" s="1367" t="s">
        <v>1132</v>
      </c>
      <c r="M763" s="1368"/>
      <c r="N763" s="1368"/>
      <c r="O763" s="1366">
        <v>100000</v>
      </c>
      <c r="P763" s="1366"/>
      <c r="Q763" s="1366"/>
      <c r="R763" s="913" t="s">
        <v>733</v>
      </c>
      <c r="S763" s="989">
        <v>61</v>
      </c>
      <c r="T763" s="916" t="s">
        <v>615</v>
      </c>
      <c r="U763" s="988">
        <f>O763*S763</f>
        <v>6100000</v>
      </c>
      <c r="AE763" s="1054"/>
    </row>
    <row r="764" spans="1:31" ht="21.75" customHeight="1" x14ac:dyDescent="0.15">
      <c r="A764" s="569"/>
      <c r="B764" s="570"/>
      <c r="C764" s="570"/>
      <c r="D764" s="571"/>
      <c r="E764" s="572"/>
      <c r="F764" s="573"/>
      <c r="G764" s="609"/>
      <c r="H764" s="602"/>
      <c r="I764" s="99"/>
      <c r="J764" s="99"/>
      <c r="K764" s="955"/>
      <c r="L764" s="1367" t="s">
        <v>1133</v>
      </c>
      <c r="M764" s="1368"/>
      <c r="N764" s="1368"/>
      <c r="O764" s="1366">
        <v>40000</v>
      </c>
      <c r="P764" s="1366"/>
      <c r="Q764" s="1366"/>
      <c r="R764" s="913" t="s">
        <v>733</v>
      </c>
      <c r="S764" s="989">
        <v>61</v>
      </c>
      <c r="T764" s="916" t="s">
        <v>615</v>
      </c>
      <c r="U764" s="988">
        <f>O764*S764</f>
        <v>2440000</v>
      </c>
      <c r="AE764" s="1054"/>
    </row>
    <row r="765" spans="1:31" ht="21.75" customHeight="1" x14ac:dyDescent="0.15">
      <c r="A765" s="569"/>
      <c r="B765" s="570"/>
      <c r="C765" s="570"/>
      <c r="D765" s="571"/>
      <c r="E765" s="572"/>
      <c r="F765" s="573"/>
      <c r="G765" s="942"/>
      <c r="H765" s="602"/>
      <c r="I765" s="99"/>
      <c r="J765" s="99"/>
      <c r="K765" s="955"/>
      <c r="L765" s="1367" t="s">
        <v>1147</v>
      </c>
      <c r="M765" s="1368"/>
      <c r="N765" s="1368"/>
      <c r="O765" s="1366"/>
      <c r="P765" s="1366"/>
      <c r="Q765" s="1366"/>
      <c r="R765" s="913" t="s">
        <v>733</v>
      </c>
      <c r="S765" s="989">
        <v>1</v>
      </c>
      <c r="T765" s="916" t="s">
        <v>615</v>
      </c>
      <c r="U765" s="988">
        <f>O765*S765</f>
        <v>0</v>
      </c>
      <c r="AE765" s="1054"/>
    </row>
    <row r="766" spans="1:31" ht="21.75" customHeight="1" x14ac:dyDescent="0.15">
      <c r="A766" s="569"/>
      <c r="B766" s="570"/>
      <c r="C766" s="961" t="s">
        <v>129</v>
      </c>
      <c r="D766" s="962">
        <v>30000000</v>
      </c>
      <c r="E766" s="963">
        <f>SUM(H766:K766)</f>
        <v>30000000</v>
      </c>
      <c r="F766" s="963">
        <f>E766-D766</f>
        <v>0</v>
      </c>
      <c r="G766" s="964">
        <f>F766/D766*100</f>
        <v>0</v>
      </c>
      <c r="H766" s="965">
        <v>20500000</v>
      </c>
      <c r="I766" s="974"/>
      <c r="J766" s="974">
        <v>8000000</v>
      </c>
      <c r="K766" s="967">
        <v>1500000</v>
      </c>
      <c r="L766" s="996" t="s">
        <v>825</v>
      </c>
      <c r="M766" s="969"/>
      <c r="N766" s="970"/>
      <c r="O766" s="969"/>
      <c r="P766" s="971"/>
      <c r="Q766" s="969"/>
      <c r="R766" s="972"/>
      <c r="S766" s="969"/>
      <c r="T766" s="969"/>
      <c r="U766" s="1008">
        <f>SUM(U767:U770)</f>
        <v>30000000</v>
      </c>
      <c r="V766" s="544">
        <f>U766-E766</f>
        <v>0</v>
      </c>
      <c r="AC766" s="1214">
        <f>K766</f>
        <v>1500000</v>
      </c>
      <c r="AE766" s="1054"/>
    </row>
    <row r="767" spans="1:31" ht="21.75" customHeight="1" x14ac:dyDescent="0.15">
      <c r="A767" s="569"/>
      <c r="B767" s="570"/>
      <c r="C767" s="570"/>
      <c r="D767" s="571"/>
      <c r="E767" s="572"/>
      <c r="F767" s="573"/>
      <c r="G767" s="609"/>
      <c r="H767" s="602"/>
      <c r="I767" s="99"/>
      <c r="J767" s="99"/>
      <c r="K767" s="955"/>
      <c r="L767" s="1367" t="s">
        <v>822</v>
      </c>
      <c r="M767" s="1368"/>
      <c r="N767" s="1368"/>
      <c r="O767" s="1366">
        <f>ROUNDUP(U767/S767,-1)</f>
        <v>1625000</v>
      </c>
      <c r="P767" s="1366"/>
      <c r="Q767" s="1366"/>
      <c r="R767" s="913" t="s">
        <v>733</v>
      </c>
      <c r="S767" s="989">
        <v>12</v>
      </c>
      <c r="T767" s="916" t="s">
        <v>615</v>
      </c>
      <c r="U767" s="988">
        <v>19500000</v>
      </c>
      <c r="AE767" s="1054"/>
    </row>
    <row r="768" spans="1:31" ht="21.75" customHeight="1" x14ac:dyDescent="0.15">
      <c r="A768" s="569"/>
      <c r="B768" s="570"/>
      <c r="C768" s="570"/>
      <c r="D768" s="571"/>
      <c r="E768" s="572"/>
      <c r="F768" s="573"/>
      <c r="G768" s="609"/>
      <c r="H768" s="602"/>
      <c r="I768" s="99"/>
      <c r="J768" s="99"/>
      <c r="K768" s="955"/>
      <c r="L768" s="1367" t="s">
        <v>823</v>
      </c>
      <c r="M768" s="1368"/>
      <c r="N768" s="1368"/>
      <c r="O768" s="1366">
        <v>500000</v>
      </c>
      <c r="P768" s="1366"/>
      <c r="Q768" s="1366"/>
      <c r="R768" s="913" t="s">
        <v>733</v>
      </c>
      <c r="S768" s="989">
        <v>12</v>
      </c>
      <c r="T768" s="916" t="s">
        <v>615</v>
      </c>
      <c r="U768" s="988">
        <f>O768*S768</f>
        <v>6000000</v>
      </c>
      <c r="AE768" s="1054"/>
    </row>
    <row r="769" spans="1:31" ht="21.75" customHeight="1" x14ac:dyDescent="0.15">
      <c r="A769" s="569"/>
      <c r="B769" s="570"/>
      <c r="C769" s="570"/>
      <c r="D769" s="571"/>
      <c r="E769" s="572"/>
      <c r="F769" s="573"/>
      <c r="G769" s="609"/>
      <c r="H769" s="602"/>
      <c r="I769" s="99"/>
      <c r="J769" s="99"/>
      <c r="K769" s="955"/>
      <c r="L769" s="1367" t="s">
        <v>824</v>
      </c>
      <c r="M769" s="1368"/>
      <c r="N769" s="1368"/>
      <c r="O769" s="1366">
        <f>ROUNDUP(U769/S769,-1)</f>
        <v>375000</v>
      </c>
      <c r="P769" s="1366"/>
      <c r="Q769" s="1366"/>
      <c r="R769" s="913" t="s">
        <v>733</v>
      </c>
      <c r="S769" s="989">
        <v>12</v>
      </c>
      <c r="T769" s="916" t="s">
        <v>615</v>
      </c>
      <c r="U769" s="988">
        <v>4500000</v>
      </c>
      <c r="AE769" s="1054"/>
    </row>
    <row r="770" spans="1:31" ht="21.75" customHeight="1" x14ac:dyDescent="0.15">
      <c r="A770" s="569"/>
      <c r="B770" s="570"/>
      <c r="C770" s="570"/>
      <c r="D770" s="571"/>
      <c r="E770" s="572"/>
      <c r="F770" s="573"/>
      <c r="G770" s="609"/>
      <c r="H770" s="602"/>
      <c r="I770" s="99"/>
      <c r="J770" s="99"/>
      <c r="K770" s="955"/>
      <c r="L770" s="1367"/>
      <c r="M770" s="1368"/>
      <c r="N770" s="1368"/>
      <c r="O770" s="1366"/>
      <c r="P770" s="1366"/>
      <c r="Q770" s="1366"/>
      <c r="R770" s="913" t="s">
        <v>733</v>
      </c>
      <c r="S770" s="989"/>
      <c r="T770" s="916" t="s">
        <v>615</v>
      </c>
      <c r="U770" s="988"/>
      <c r="AE770" s="1054"/>
    </row>
    <row r="771" spans="1:31" ht="21.75" customHeight="1" x14ac:dyDescent="0.15">
      <c r="A771" s="569"/>
      <c r="B771" s="570"/>
      <c r="C771" s="961" t="s">
        <v>130</v>
      </c>
      <c r="D771" s="962">
        <v>1800000</v>
      </c>
      <c r="E771" s="963">
        <f>SUM(H771:K771)</f>
        <v>4000000</v>
      </c>
      <c r="F771" s="963">
        <f>E771-D771</f>
        <v>2200000</v>
      </c>
      <c r="G771" s="964">
        <f>F771/D771*100</f>
        <v>122.22222222222223</v>
      </c>
      <c r="H771" s="1000">
        <v>0</v>
      </c>
      <c r="I771" s="1001"/>
      <c r="J771" s="1001">
        <v>4000000</v>
      </c>
      <c r="K771" s="1002">
        <v>0</v>
      </c>
      <c r="L771" s="996" t="s">
        <v>829</v>
      </c>
      <c r="M771" s="969"/>
      <c r="N771" s="970"/>
      <c r="O771" s="969"/>
      <c r="P771" s="971"/>
      <c r="Q771" s="969"/>
      <c r="R771" s="972"/>
      <c r="S771" s="969"/>
      <c r="T771" s="969"/>
      <c r="U771" s="1008">
        <f>U772</f>
        <v>4000000</v>
      </c>
      <c r="AE771" s="1054"/>
    </row>
    <row r="772" spans="1:31" ht="21.75" customHeight="1" x14ac:dyDescent="0.15">
      <c r="A772" s="569"/>
      <c r="B772" s="570"/>
      <c r="C772" s="570"/>
      <c r="D772" s="571"/>
      <c r="E772" s="572"/>
      <c r="F772" s="573"/>
      <c r="G772" s="609"/>
      <c r="H772" s="605"/>
      <c r="I772" s="101"/>
      <c r="J772" s="101"/>
      <c r="K772" s="959"/>
      <c r="L772" s="1367" t="s">
        <v>827</v>
      </c>
      <c r="M772" s="1368"/>
      <c r="N772" s="1368"/>
      <c r="O772" s="1366">
        <v>2000000</v>
      </c>
      <c r="P772" s="1366"/>
      <c r="Q772" s="1366"/>
      <c r="R772" s="913" t="s">
        <v>733</v>
      </c>
      <c r="S772" s="989">
        <v>2</v>
      </c>
      <c r="T772" s="916" t="s">
        <v>615</v>
      </c>
      <c r="U772" s="988">
        <f>O772*S772</f>
        <v>4000000</v>
      </c>
      <c r="AE772" s="1054"/>
    </row>
    <row r="773" spans="1:31" ht="21.75" customHeight="1" x14ac:dyDescent="0.15">
      <c r="A773" s="569"/>
      <c r="B773" s="570"/>
      <c r="C773" s="961" t="s">
        <v>131</v>
      </c>
      <c r="D773" s="962">
        <v>7150000</v>
      </c>
      <c r="E773" s="963">
        <f>SUM(H773:K773)</f>
        <v>5500000</v>
      </c>
      <c r="F773" s="963">
        <f>E773-D773</f>
        <v>-1650000</v>
      </c>
      <c r="G773" s="964">
        <f>F773/D773*100</f>
        <v>-23.076923076923077</v>
      </c>
      <c r="H773" s="965">
        <v>0</v>
      </c>
      <c r="I773" s="974"/>
      <c r="J773" s="974">
        <v>4500000</v>
      </c>
      <c r="K773" s="967">
        <f>후원금세출!F59</f>
        <v>1000000</v>
      </c>
      <c r="L773" s="1003" t="s">
        <v>830</v>
      </c>
      <c r="M773" s="1004"/>
      <c r="N773" s="970"/>
      <c r="O773" s="969"/>
      <c r="P773" s="971"/>
      <c r="Q773" s="969"/>
      <c r="R773" s="972"/>
      <c r="S773" s="969"/>
      <c r="T773" s="969"/>
      <c r="U773" s="1008">
        <f>U774</f>
        <v>5500000</v>
      </c>
      <c r="V773" s="595">
        <f>U773-E773</f>
        <v>0</v>
      </c>
      <c r="W773" s="545"/>
      <c r="X773" s="545"/>
      <c r="AC773" s="1214">
        <f>K773</f>
        <v>1000000</v>
      </c>
      <c r="AE773" s="1054"/>
    </row>
    <row r="774" spans="1:31" ht="21.75" customHeight="1" x14ac:dyDescent="0.15">
      <c r="A774" s="569"/>
      <c r="B774" s="570"/>
      <c r="C774" s="1197"/>
      <c r="D774" s="1198"/>
      <c r="E774" s="1199"/>
      <c r="F774" s="1199"/>
      <c r="G774" s="1200"/>
      <c r="H774" s="1201"/>
      <c r="I774" s="1202"/>
      <c r="J774" s="1202"/>
      <c r="K774" s="1203"/>
      <c r="L774" s="1360" t="s">
        <v>828</v>
      </c>
      <c r="M774" s="1361"/>
      <c r="N774" s="1362"/>
      <c r="O774" s="1363">
        <f>ROUNDUP(U774/S774,-1)</f>
        <v>458340</v>
      </c>
      <c r="P774" s="1364"/>
      <c r="Q774" s="1365"/>
      <c r="R774" s="1204" t="s">
        <v>733</v>
      </c>
      <c r="S774" s="989">
        <v>12</v>
      </c>
      <c r="T774" s="1206" t="s">
        <v>615</v>
      </c>
      <c r="U774" s="1209">
        <v>5500000</v>
      </c>
      <c r="V774" s="595"/>
      <c r="W774" s="545"/>
      <c r="X774" s="545"/>
      <c r="AE774" s="1054"/>
    </row>
    <row r="775" spans="1:31" ht="21.75" customHeight="1" x14ac:dyDescent="0.15">
      <c r="A775" s="937"/>
      <c r="B775" s="570"/>
      <c r="C775" s="961" t="s">
        <v>132</v>
      </c>
      <c r="D775" s="1005">
        <v>6000000</v>
      </c>
      <c r="E775" s="963">
        <f>SUM(H775:K775)</f>
        <v>6000000</v>
      </c>
      <c r="F775" s="1005">
        <v>0</v>
      </c>
      <c r="G775" s="1196">
        <v>0</v>
      </c>
      <c r="H775" s="965"/>
      <c r="I775" s="974"/>
      <c r="J775" s="974">
        <v>6000000</v>
      </c>
      <c r="K775" s="967">
        <v>0</v>
      </c>
      <c r="L775" s="1003" t="s">
        <v>1135</v>
      </c>
      <c r="M775" s="1004"/>
      <c r="N775" s="1211" t="s">
        <v>1134</v>
      </c>
      <c r="O775" s="1357">
        <f>ROUNDUP(U775/S775,-1)</f>
        <v>416670</v>
      </c>
      <c r="P775" s="1358"/>
      <c r="Q775" s="1359"/>
      <c r="R775" s="1205" t="s">
        <v>733</v>
      </c>
      <c r="S775" s="1207">
        <v>12</v>
      </c>
      <c r="T775" s="1208" t="s">
        <v>615</v>
      </c>
      <c r="U775" s="1210">
        <v>5000000</v>
      </c>
      <c r="V775" s="595"/>
      <c r="W775" s="545"/>
      <c r="X775" s="545"/>
      <c r="AE775" s="1054"/>
    </row>
    <row r="776" spans="1:31" s="597" customFormat="1" ht="21.75" customHeight="1" x14ac:dyDescent="0.15">
      <c r="A776" s="937"/>
      <c r="B776" s="579" t="s">
        <v>127</v>
      </c>
      <c r="C776" s="579" t="s">
        <v>93</v>
      </c>
      <c r="D776" s="826">
        <v>162799462</v>
      </c>
      <c r="E776" s="826">
        <f>SUM(E777:E815)</f>
        <v>117612362</v>
      </c>
      <c r="F776" s="580">
        <f>E776-D776</f>
        <v>-45187100</v>
      </c>
      <c r="G776" s="945">
        <f>F776/D776*100</f>
        <v>-27.756295656554443</v>
      </c>
      <c r="H776" s="603">
        <f>SUM(H777:H810)</f>
        <v>49540000</v>
      </c>
      <c r="I776" s="581">
        <f>SUM(I777:I810)</f>
        <v>8000000</v>
      </c>
      <c r="J776" s="581">
        <f>SUM(J777:J810)</f>
        <v>28050000</v>
      </c>
      <c r="K776" s="956">
        <f>SUM(K777:K815)</f>
        <v>32022362</v>
      </c>
      <c r="L776" s="999" t="s">
        <v>826</v>
      </c>
      <c r="M776" s="592"/>
      <c r="N776" s="592"/>
      <c r="O776" s="592"/>
      <c r="P776" s="592"/>
      <c r="Q776" s="592"/>
      <c r="R776" s="592"/>
      <c r="S776" s="592"/>
      <c r="T776" s="592"/>
      <c r="U776" s="1010">
        <f>U777+U795+U797+U803+U806+U810+U813+U815</f>
        <v>121612362</v>
      </c>
      <c r="AE776" s="1054"/>
    </row>
    <row r="777" spans="1:31" ht="21.75" customHeight="1" x14ac:dyDescent="0.15">
      <c r="A777" s="937"/>
      <c r="B777" s="570"/>
      <c r="C777" s="961" t="s">
        <v>233</v>
      </c>
      <c r="D777" s="1005">
        <v>66072362</v>
      </c>
      <c r="E777" s="963">
        <f>SUM(H777:K777)</f>
        <v>66072362</v>
      </c>
      <c r="F777" s="963">
        <f>E777-D777</f>
        <v>0</v>
      </c>
      <c r="G777" s="964">
        <f>F777/D777*100</f>
        <v>0</v>
      </c>
      <c r="H777" s="965">
        <v>8000000</v>
      </c>
      <c r="I777" s="1001">
        <v>8000000</v>
      </c>
      <c r="J777" s="974">
        <v>28050000</v>
      </c>
      <c r="K777" s="967">
        <v>22022362</v>
      </c>
      <c r="L777" s="1371" t="s">
        <v>847</v>
      </c>
      <c r="M777" s="1372"/>
      <c r="N777" s="970"/>
      <c r="O777" s="969"/>
      <c r="P777" s="971"/>
      <c r="Q777" s="969"/>
      <c r="R777" s="972"/>
      <c r="S777" s="969"/>
      <c r="T777" s="969"/>
      <c r="U777" s="1008">
        <f>SUM(U778:U794)</f>
        <v>66072362</v>
      </c>
      <c r="V777" s="544">
        <f>U777-E777</f>
        <v>0</v>
      </c>
      <c r="AC777" s="1214">
        <f>K777</f>
        <v>22022362</v>
      </c>
      <c r="AE777" s="1054"/>
    </row>
    <row r="778" spans="1:31" ht="21.75" customHeight="1" x14ac:dyDescent="0.15">
      <c r="A778" s="937"/>
      <c r="B778" s="570"/>
      <c r="C778" s="570"/>
      <c r="D778" s="706"/>
      <c r="E778" s="572"/>
      <c r="F778" s="573"/>
      <c r="G778" s="609"/>
      <c r="H778" s="602"/>
      <c r="I778" s="101"/>
      <c r="J778" s="99"/>
      <c r="K778" s="955"/>
      <c r="L778" s="1367" t="s">
        <v>831</v>
      </c>
      <c r="M778" s="1368"/>
      <c r="N778" s="1368"/>
      <c r="O778" s="1366">
        <v>200000</v>
      </c>
      <c r="P778" s="1366"/>
      <c r="Q778" s="1366"/>
      <c r="R778" s="913" t="s">
        <v>733</v>
      </c>
      <c r="S778" s="989">
        <v>12</v>
      </c>
      <c r="T778" s="916" t="s">
        <v>615</v>
      </c>
      <c r="U778" s="988">
        <f t="shared" ref="U778:U793" si="48">O778*S778</f>
        <v>2400000</v>
      </c>
      <c r="AE778" s="1054"/>
    </row>
    <row r="779" spans="1:31" ht="21.75" hidden="1" customHeight="1" x14ac:dyDescent="0.15">
      <c r="A779" s="937"/>
      <c r="B779" s="570"/>
      <c r="C779" s="570"/>
      <c r="D779" s="706"/>
      <c r="E779" s="572"/>
      <c r="F779" s="573"/>
      <c r="G779" s="609"/>
      <c r="H779" s="602"/>
      <c r="I779" s="101"/>
      <c r="J779" s="99"/>
      <c r="K779" s="955"/>
      <c r="L779" s="1367" t="s">
        <v>832</v>
      </c>
      <c r="M779" s="1368"/>
      <c r="N779" s="1368"/>
      <c r="O779" s="1366"/>
      <c r="P779" s="1366"/>
      <c r="Q779" s="1366"/>
      <c r="R779" s="913" t="s">
        <v>733</v>
      </c>
      <c r="S779" s="989">
        <v>12</v>
      </c>
      <c r="T779" s="916" t="s">
        <v>615</v>
      </c>
      <c r="U779" s="988">
        <f t="shared" si="48"/>
        <v>0</v>
      </c>
      <c r="AE779" s="1054"/>
    </row>
    <row r="780" spans="1:31" ht="21.75" customHeight="1" x14ac:dyDescent="0.15">
      <c r="A780" s="937"/>
      <c r="B780" s="570"/>
      <c r="C780" s="570"/>
      <c r="D780" s="706"/>
      <c r="E780" s="572"/>
      <c r="F780" s="573"/>
      <c r="G780" s="609"/>
      <c r="H780" s="602"/>
      <c r="I780" s="101"/>
      <c r="J780" s="99"/>
      <c r="K780" s="955"/>
      <c r="L780" s="1367" t="s">
        <v>833</v>
      </c>
      <c r="M780" s="1368"/>
      <c r="N780" s="1368"/>
      <c r="O780" s="1366">
        <v>400000</v>
      </c>
      <c r="P780" s="1366"/>
      <c r="Q780" s="1366"/>
      <c r="R780" s="913" t="s">
        <v>733</v>
      </c>
      <c r="S780" s="989">
        <v>12</v>
      </c>
      <c r="T780" s="916" t="s">
        <v>615</v>
      </c>
      <c r="U780" s="988">
        <f t="shared" si="48"/>
        <v>4800000</v>
      </c>
      <c r="AE780" s="1054"/>
    </row>
    <row r="781" spans="1:31" ht="21.75" customHeight="1" x14ac:dyDescent="0.15">
      <c r="A781" s="937"/>
      <c r="B781" s="570"/>
      <c r="C781" s="570"/>
      <c r="D781" s="706"/>
      <c r="E781" s="572"/>
      <c r="F781" s="573"/>
      <c r="G781" s="609"/>
      <c r="H781" s="602"/>
      <c r="I781" s="101"/>
      <c r="J781" s="99"/>
      <c r="K781" s="955"/>
      <c r="L781" s="1367" t="s">
        <v>834</v>
      </c>
      <c r="M781" s="1368"/>
      <c r="N781" s="1368"/>
      <c r="O781" s="1366">
        <v>1500000</v>
      </c>
      <c r="P781" s="1366"/>
      <c r="Q781" s="1366"/>
      <c r="R781" s="913" t="s">
        <v>733</v>
      </c>
      <c r="S781" s="989">
        <v>1</v>
      </c>
      <c r="T781" s="916" t="s">
        <v>615</v>
      </c>
      <c r="U781" s="988">
        <f t="shared" si="48"/>
        <v>1500000</v>
      </c>
      <c r="AE781" s="1054"/>
    </row>
    <row r="782" spans="1:31" ht="21.75" customHeight="1" x14ac:dyDescent="0.15">
      <c r="A782" s="937"/>
      <c r="B782" s="570"/>
      <c r="C782" s="570"/>
      <c r="D782" s="706"/>
      <c r="E782" s="572"/>
      <c r="F782" s="573"/>
      <c r="G782" s="609"/>
      <c r="H782" s="602"/>
      <c r="I782" s="101"/>
      <c r="J782" s="99"/>
      <c r="K782" s="955"/>
      <c r="L782" s="1367" t="s">
        <v>835</v>
      </c>
      <c r="M782" s="1368"/>
      <c r="N782" s="1368"/>
      <c r="O782" s="1366">
        <v>5000000</v>
      </c>
      <c r="P782" s="1366"/>
      <c r="Q782" s="1366"/>
      <c r="R782" s="913" t="s">
        <v>733</v>
      </c>
      <c r="S782" s="989">
        <v>1</v>
      </c>
      <c r="T782" s="916" t="s">
        <v>615</v>
      </c>
      <c r="U782" s="988">
        <f t="shared" si="48"/>
        <v>5000000</v>
      </c>
      <c r="AE782" s="1054"/>
    </row>
    <row r="783" spans="1:31" ht="21.75" customHeight="1" x14ac:dyDescent="0.15">
      <c r="A783" s="937"/>
      <c r="B783" s="570"/>
      <c r="C783" s="570"/>
      <c r="D783" s="706"/>
      <c r="E783" s="572"/>
      <c r="F783" s="573"/>
      <c r="G783" s="609"/>
      <c r="H783" s="602"/>
      <c r="I783" s="101"/>
      <c r="J783" s="99"/>
      <c r="K783" s="955"/>
      <c r="L783" s="1367" t="s">
        <v>836</v>
      </c>
      <c r="M783" s="1368"/>
      <c r="N783" s="1368"/>
      <c r="O783" s="1366">
        <v>500000</v>
      </c>
      <c r="P783" s="1366"/>
      <c r="Q783" s="1366"/>
      <c r="R783" s="913" t="s">
        <v>733</v>
      </c>
      <c r="S783" s="989">
        <v>12</v>
      </c>
      <c r="T783" s="916" t="s">
        <v>615</v>
      </c>
      <c r="U783" s="988">
        <f t="shared" si="48"/>
        <v>6000000</v>
      </c>
      <c r="AE783" s="1054"/>
    </row>
    <row r="784" spans="1:31" ht="21.75" customHeight="1" x14ac:dyDescent="0.15">
      <c r="A784" s="937"/>
      <c r="B784" s="570"/>
      <c r="C784" s="570"/>
      <c r="D784" s="706"/>
      <c r="E784" s="572"/>
      <c r="F784" s="573"/>
      <c r="G784" s="609"/>
      <c r="H784" s="602"/>
      <c r="I784" s="101"/>
      <c r="J784" s="99"/>
      <c r="K784" s="955"/>
      <c r="L784" s="1367" t="s">
        <v>837</v>
      </c>
      <c r="M784" s="1368"/>
      <c r="N784" s="1368"/>
      <c r="O784" s="1366">
        <v>800000</v>
      </c>
      <c r="P784" s="1366"/>
      <c r="Q784" s="1366"/>
      <c r="R784" s="913" t="s">
        <v>733</v>
      </c>
      <c r="S784" s="989">
        <v>1</v>
      </c>
      <c r="T784" s="916" t="s">
        <v>615</v>
      </c>
      <c r="U784" s="988">
        <f>O784*S784</f>
        <v>800000</v>
      </c>
      <c r="AE784" s="1054"/>
    </row>
    <row r="785" spans="1:31" ht="21.75" customHeight="1" x14ac:dyDescent="0.15">
      <c r="A785" s="937"/>
      <c r="B785" s="570"/>
      <c r="C785" s="570"/>
      <c r="D785" s="706"/>
      <c r="E785" s="572"/>
      <c r="F785" s="573"/>
      <c r="G785" s="609"/>
      <c r="H785" s="602"/>
      <c r="I785" s="101"/>
      <c r="J785" s="99"/>
      <c r="K785" s="955"/>
      <c r="L785" s="1367" t="s">
        <v>838</v>
      </c>
      <c r="M785" s="1368"/>
      <c r="N785" s="1368"/>
      <c r="O785" s="1366">
        <v>500000</v>
      </c>
      <c r="P785" s="1366"/>
      <c r="Q785" s="1366"/>
      <c r="R785" s="913" t="s">
        <v>733</v>
      </c>
      <c r="S785" s="989">
        <v>1</v>
      </c>
      <c r="T785" s="916" t="s">
        <v>615</v>
      </c>
      <c r="U785" s="988">
        <f t="shared" si="48"/>
        <v>500000</v>
      </c>
      <c r="AE785" s="1054"/>
    </row>
    <row r="786" spans="1:31" ht="21.75" customHeight="1" x14ac:dyDescent="0.15">
      <c r="A786" s="937"/>
      <c r="B786" s="570"/>
      <c r="C786" s="570"/>
      <c r="D786" s="706"/>
      <c r="E786" s="572"/>
      <c r="F786" s="573"/>
      <c r="G786" s="609"/>
      <c r="H786" s="602"/>
      <c r="I786" s="101"/>
      <c r="J786" s="99"/>
      <c r="K786" s="955"/>
      <c r="L786" s="1367" t="s">
        <v>839</v>
      </c>
      <c r="M786" s="1368"/>
      <c r="N786" s="1368"/>
      <c r="O786" s="1366">
        <v>200000</v>
      </c>
      <c r="P786" s="1366"/>
      <c r="Q786" s="1366"/>
      <c r="R786" s="913" t="s">
        <v>733</v>
      </c>
      <c r="S786" s="989">
        <v>1</v>
      </c>
      <c r="T786" s="916" t="s">
        <v>615</v>
      </c>
      <c r="U786" s="988">
        <f t="shared" si="48"/>
        <v>200000</v>
      </c>
      <c r="AE786" s="1054"/>
    </row>
    <row r="787" spans="1:31" ht="21.75" hidden="1" customHeight="1" x14ac:dyDescent="0.15">
      <c r="A787" s="937"/>
      <c r="B787" s="570"/>
      <c r="C787" s="570"/>
      <c r="D787" s="706"/>
      <c r="E787" s="572"/>
      <c r="F787" s="573"/>
      <c r="G787" s="609"/>
      <c r="H787" s="602"/>
      <c r="I787" s="101"/>
      <c r="J787" s="99"/>
      <c r="K787" s="955"/>
      <c r="L787" s="1367" t="s">
        <v>840</v>
      </c>
      <c r="M787" s="1368"/>
      <c r="N787" s="1368"/>
      <c r="O787" s="1366">
        <v>100000</v>
      </c>
      <c r="P787" s="1366"/>
      <c r="Q787" s="1366"/>
      <c r="R787" s="913" t="s">
        <v>733</v>
      </c>
      <c r="S787" s="989">
        <v>12</v>
      </c>
      <c r="T787" s="916" t="s">
        <v>615</v>
      </c>
      <c r="U787" s="988"/>
      <c r="AE787" s="1054"/>
    </row>
    <row r="788" spans="1:31" ht="21.75" customHeight="1" x14ac:dyDescent="0.15">
      <c r="A788" s="937"/>
      <c r="B788" s="570"/>
      <c r="C788" s="570"/>
      <c r="D788" s="706"/>
      <c r="E788" s="572"/>
      <c r="F788" s="573"/>
      <c r="G788" s="609"/>
      <c r="H788" s="602"/>
      <c r="I788" s="101"/>
      <c r="J788" s="99"/>
      <c r="K788" s="955"/>
      <c r="L788" s="1367" t="s">
        <v>939</v>
      </c>
      <c r="M788" s="1368"/>
      <c r="N788" s="1368"/>
      <c r="O788" s="1366">
        <v>100000</v>
      </c>
      <c r="P788" s="1366"/>
      <c r="Q788" s="1366"/>
      <c r="R788" s="913" t="s">
        <v>733</v>
      </c>
      <c r="S788" s="989">
        <v>12</v>
      </c>
      <c r="T788" s="916" t="s">
        <v>615</v>
      </c>
      <c r="U788" s="988">
        <f t="shared" si="48"/>
        <v>1200000</v>
      </c>
      <c r="AE788" s="1054"/>
    </row>
    <row r="789" spans="1:31" ht="21.75" customHeight="1" x14ac:dyDescent="0.15">
      <c r="A789" s="937"/>
      <c r="B789" s="570"/>
      <c r="C789" s="570"/>
      <c r="D789" s="706"/>
      <c r="E789" s="572"/>
      <c r="F789" s="573"/>
      <c r="G789" s="609"/>
      <c r="H789" s="602"/>
      <c r="I789" s="101"/>
      <c r="J789" s="99"/>
      <c r="K789" s="955"/>
      <c r="L789" s="1367" t="s">
        <v>841</v>
      </c>
      <c r="M789" s="1368"/>
      <c r="N789" s="1368"/>
      <c r="O789" s="1366">
        <v>600000</v>
      </c>
      <c r="P789" s="1366"/>
      <c r="Q789" s="1366"/>
      <c r="R789" s="913" t="s">
        <v>733</v>
      </c>
      <c r="S789" s="989">
        <v>12</v>
      </c>
      <c r="T789" s="916" t="s">
        <v>615</v>
      </c>
      <c r="U789" s="988">
        <f t="shared" si="48"/>
        <v>7200000</v>
      </c>
      <c r="AE789" s="1054"/>
    </row>
    <row r="790" spans="1:31" ht="21.75" customHeight="1" x14ac:dyDescent="0.15">
      <c r="A790" s="937"/>
      <c r="B790" s="570"/>
      <c r="C790" s="570"/>
      <c r="D790" s="706"/>
      <c r="E790" s="572"/>
      <c r="F790" s="573"/>
      <c r="G790" s="609"/>
      <c r="H790" s="602"/>
      <c r="I790" s="101"/>
      <c r="J790" s="99"/>
      <c r="K790" s="955"/>
      <c r="L790" s="1367" t="s">
        <v>842</v>
      </c>
      <c r="M790" s="1368"/>
      <c r="N790" s="1368"/>
      <c r="O790" s="1366">
        <v>1200000</v>
      </c>
      <c r="P790" s="1366"/>
      <c r="Q790" s="1366"/>
      <c r="R790" s="913" t="s">
        <v>733</v>
      </c>
      <c r="S790" s="989">
        <v>1</v>
      </c>
      <c r="T790" s="916" t="s">
        <v>615</v>
      </c>
      <c r="U790" s="988">
        <f t="shared" si="48"/>
        <v>1200000</v>
      </c>
      <c r="AE790" s="1054"/>
    </row>
    <row r="791" spans="1:31" ht="21.75" customHeight="1" x14ac:dyDescent="0.15">
      <c r="A791" s="937"/>
      <c r="B791" s="570"/>
      <c r="C791" s="570"/>
      <c r="D791" s="706"/>
      <c r="E791" s="572"/>
      <c r="F791" s="573"/>
      <c r="G791" s="609"/>
      <c r="H791" s="602"/>
      <c r="I791" s="101"/>
      <c r="J791" s="99"/>
      <c r="K791" s="955"/>
      <c r="L791" s="1367" t="s">
        <v>843</v>
      </c>
      <c r="M791" s="1368"/>
      <c r="N791" s="1368"/>
      <c r="O791" s="1366">
        <v>200000</v>
      </c>
      <c r="P791" s="1366"/>
      <c r="Q791" s="1366"/>
      <c r="R791" s="913" t="s">
        <v>733</v>
      </c>
      <c r="S791" s="989">
        <v>12</v>
      </c>
      <c r="T791" s="916" t="s">
        <v>615</v>
      </c>
      <c r="U791" s="988">
        <f t="shared" si="48"/>
        <v>2400000</v>
      </c>
      <c r="AE791" s="1054"/>
    </row>
    <row r="792" spans="1:31" ht="21.75" customHeight="1" x14ac:dyDescent="0.15">
      <c r="A792" s="937"/>
      <c r="B792" s="570"/>
      <c r="C792" s="570"/>
      <c r="D792" s="706"/>
      <c r="E792" s="572"/>
      <c r="F792" s="573"/>
      <c r="G792" s="609"/>
      <c r="H792" s="602"/>
      <c r="I792" s="101"/>
      <c r="J792" s="99"/>
      <c r="K792" s="955"/>
      <c r="L792" s="1367" t="s">
        <v>844</v>
      </c>
      <c r="M792" s="1368"/>
      <c r="N792" s="1368"/>
      <c r="O792" s="1366">
        <v>18000000</v>
      </c>
      <c r="P792" s="1366"/>
      <c r="Q792" s="1366"/>
      <c r="R792" s="913" t="s">
        <v>733</v>
      </c>
      <c r="S792" s="989">
        <v>1</v>
      </c>
      <c r="T792" s="916" t="s">
        <v>615</v>
      </c>
      <c r="U792" s="988">
        <f>O792*S792</f>
        <v>18000000</v>
      </c>
      <c r="AE792" s="1054"/>
    </row>
    <row r="793" spans="1:31" ht="21.75" customHeight="1" x14ac:dyDescent="0.15">
      <c r="A793" s="937"/>
      <c r="B793" s="570"/>
      <c r="C793" s="570"/>
      <c r="D793" s="706"/>
      <c r="E793" s="572"/>
      <c r="F793" s="573"/>
      <c r="G793" s="609"/>
      <c r="H793" s="602"/>
      <c r="I793" s="101"/>
      <c r="J793" s="99"/>
      <c r="K793" s="955"/>
      <c r="L793" s="1367" t="s">
        <v>845</v>
      </c>
      <c r="M793" s="1368"/>
      <c r="N793" s="1368"/>
      <c r="O793" s="1366">
        <v>8118160</v>
      </c>
      <c r="P793" s="1366"/>
      <c r="Q793" s="1366"/>
      <c r="R793" s="913" t="s">
        <v>733</v>
      </c>
      <c r="S793" s="989">
        <v>1</v>
      </c>
      <c r="T793" s="916" t="s">
        <v>615</v>
      </c>
      <c r="U793" s="988">
        <f t="shared" si="48"/>
        <v>8118160</v>
      </c>
      <c r="AE793" s="1054"/>
    </row>
    <row r="794" spans="1:31" ht="21.75" customHeight="1" x14ac:dyDescent="0.15">
      <c r="A794" s="937"/>
      <c r="B794" s="570"/>
      <c r="C794" s="570"/>
      <c r="D794" s="706"/>
      <c r="E794" s="572"/>
      <c r="F794" s="573"/>
      <c r="G794" s="609"/>
      <c r="H794" s="602"/>
      <c r="I794" s="101"/>
      <c r="J794" s="99"/>
      <c r="K794" s="955"/>
      <c r="L794" s="1367" t="s">
        <v>846</v>
      </c>
      <c r="M794" s="1368"/>
      <c r="N794" s="1368"/>
      <c r="O794" s="1366">
        <f>ROUNDUP(U794/S794,-1)</f>
        <v>1125710</v>
      </c>
      <c r="P794" s="1366"/>
      <c r="Q794" s="1366"/>
      <c r="R794" s="913" t="s">
        <v>733</v>
      </c>
      <c r="S794" s="989">
        <v>6</v>
      </c>
      <c r="T794" s="916" t="s">
        <v>615</v>
      </c>
      <c r="U794" s="988">
        <v>6754202</v>
      </c>
      <c r="AE794" s="1054"/>
    </row>
    <row r="795" spans="1:31" ht="21.75" customHeight="1" x14ac:dyDescent="0.15">
      <c r="A795" s="937"/>
      <c r="B795" s="570"/>
      <c r="C795" s="961" t="s">
        <v>1130</v>
      </c>
      <c r="D795" s="1005">
        <v>22000000</v>
      </c>
      <c r="E795" s="963">
        <f>SUM(H795:K795)</f>
        <v>0</v>
      </c>
      <c r="F795" s="963">
        <f>E795-D795</f>
        <v>-22000000</v>
      </c>
      <c r="G795" s="964">
        <v>100</v>
      </c>
      <c r="H795" s="1000"/>
      <c r="I795" s="1001">
        <f>SUM(I797:I817)</f>
        <v>0</v>
      </c>
      <c r="J795" s="974"/>
      <c r="K795" s="1002"/>
      <c r="L795" s="1373" t="s">
        <v>1131</v>
      </c>
      <c r="M795" s="1374"/>
      <c r="N795" s="970"/>
      <c r="O795" s="969"/>
      <c r="P795" s="971"/>
      <c r="Q795" s="969"/>
      <c r="R795" s="972"/>
      <c r="S795" s="969"/>
      <c r="T795" s="969"/>
      <c r="U795" s="1008">
        <f>U796</f>
        <v>0</v>
      </c>
      <c r="AE795" s="1054"/>
    </row>
    <row r="796" spans="1:31" ht="21.75" customHeight="1" x14ac:dyDescent="0.15">
      <c r="A796" s="937"/>
      <c r="B796" s="570"/>
      <c r="C796" s="570"/>
      <c r="D796" s="706"/>
      <c r="E796" s="572"/>
      <c r="F796" s="573"/>
      <c r="G796" s="609"/>
      <c r="H796" s="605"/>
      <c r="I796" s="101"/>
      <c r="J796" s="99"/>
      <c r="K796" s="959"/>
      <c r="L796" s="1367" t="s">
        <v>1310</v>
      </c>
      <c r="M796" s="1368"/>
      <c r="N796" s="1368"/>
      <c r="O796" s="1366"/>
      <c r="P796" s="1366"/>
      <c r="Q796" s="1366"/>
      <c r="R796" s="913" t="s">
        <v>733</v>
      </c>
      <c r="S796" s="989">
        <v>1</v>
      </c>
      <c r="T796" s="916" t="s">
        <v>615</v>
      </c>
      <c r="U796" s="988">
        <f>O796*S796</f>
        <v>0</v>
      </c>
      <c r="AE796" s="1054"/>
    </row>
    <row r="797" spans="1:31" ht="21.75" customHeight="1" x14ac:dyDescent="0.15">
      <c r="A797" s="937"/>
      <c r="B797" s="570"/>
      <c r="C797" s="961" t="s">
        <v>235</v>
      </c>
      <c r="D797" s="1005">
        <v>32840000</v>
      </c>
      <c r="E797" s="963">
        <f>SUM(H797:K797)</f>
        <v>32840000</v>
      </c>
      <c r="F797" s="963">
        <f>E797-D797</f>
        <v>0</v>
      </c>
      <c r="G797" s="964">
        <f>F797/D797*100</f>
        <v>0</v>
      </c>
      <c r="H797" s="965">
        <f>'다. 세입내역서'!E29</f>
        <v>32840000</v>
      </c>
      <c r="I797" s="1001"/>
      <c r="J797" s="974">
        <v>0</v>
      </c>
      <c r="K797" s="1002">
        <v>0</v>
      </c>
      <c r="L797" s="1371" t="s">
        <v>855</v>
      </c>
      <c r="M797" s="1372"/>
      <c r="N797" s="970"/>
      <c r="O797" s="969"/>
      <c r="P797" s="971"/>
      <c r="Q797" s="969"/>
      <c r="R797" s="972"/>
      <c r="S797" s="969"/>
      <c r="T797" s="969"/>
      <c r="U797" s="1008">
        <f>SUM(U798:U802)</f>
        <v>32840000</v>
      </c>
      <c r="AE797" s="1054"/>
    </row>
    <row r="798" spans="1:31" ht="21.75" customHeight="1" x14ac:dyDescent="0.15">
      <c r="A798" s="937"/>
      <c r="B798" s="570"/>
      <c r="C798" s="570"/>
      <c r="D798" s="706"/>
      <c r="E798" s="572"/>
      <c r="F798" s="573"/>
      <c r="G798" s="609"/>
      <c r="H798" s="602"/>
      <c r="I798" s="101"/>
      <c r="J798" s="99"/>
      <c r="K798" s="959"/>
      <c r="L798" s="1367" t="s">
        <v>848</v>
      </c>
      <c r="M798" s="1368"/>
      <c r="N798" s="1368"/>
      <c r="O798" s="1366">
        <v>40000</v>
      </c>
      <c r="P798" s="1366"/>
      <c r="Q798" s="1366"/>
      <c r="R798" s="913" t="s">
        <v>733</v>
      </c>
      <c r="S798" s="989" t="s">
        <v>849</v>
      </c>
      <c r="T798" s="916" t="s">
        <v>615</v>
      </c>
      <c r="U798" s="988">
        <f>O798*80</f>
        <v>3200000</v>
      </c>
      <c r="AE798" s="1054"/>
    </row>
    <row r="799" spans="1:31" ht="21.75" customHeight="1" x14ac:dyDescent="0.15">
      <c r="A799" s="937"/>
      <c r="B799" s="570"/>
      <c r="C799" s="570"/>
      <c r="D799" s="706"/>
      <c r="E799" s="572"/>
      <c r="F799" s="573"/>
      <c r="G799" s="609"/>
      <c r="H799" s="602"/>
      <c r="I799" s="101"/>
      <c r="J799" s="99"/>
      <c r="K799" s="959"/>
      <c r="L799" s="1367" t="s">
        <v>850</v>
      </c>
      <c r="M799" s="1368"/>
      <c r="N799" s="1368"/>
      <c r="O799" s="1366">
        <f>14600000/12</f>
        <v>1216666.6666666667</v>
      </c>
      <c r="P799" s="1366"/>
      <c r="Q799" s="1366"/>
      <c r="R799" s="913" t="s">
        <v>733</v>
      </c>
      <c r="S799" s="989">
        <v>12</v>
      </c>
      <c r="T799" s="916" t="s">
        <v>615</v>
      </c>
      <c r="U799" s="988">
        <f>O799*S799</f>
        <v>14600000</v>
      </c>
      <c r="AE799" s="1054"/>
    </row>
    <row r="800" spans="1:31" ht="21.75" customHeight="1" x14ac:dyDescent="0.15">
      <c r="A800" s="937"/>
      <c r="B800" s="570"/>
      <c r="C800" s="570"/>
      <c r="D800" s="706"/>
      <c r="E800" s="572"/>
      <c r="F800" s="573"/>
      <c r="G800" s="609"/>
      <c r="H800" s="602"/>
      <c r="I800" s="101"/>
      <c r="J800" s="99"/>
      <c r="K800" s="959"/>
      <c r="L800" s="1367" t="s">
        <v>851</v>
      </c>
      <c r="M800" s="1368"/>
      <c r="N800" s="1368"/>
      <c r="O800" s="1366">
        <f>4800000/12</f>
        <v>400000</v>
      </c>
      <c r="P800" s="1366"/>
      <c r="Q800" s="1366"/>
      <c r="R800" s="913" t="s">
        <v>733</v>
      </c>
      <c r="S800" s="989">
        <v>12</v>
      </c>
      <c r="T800" s="916" t="s">
        <v>615</v>
      </c>
      <c r="U800" s="988">
        <f>O800*S800</f>
        <v>4800000</v>
      </c>
      <c r="AE800" s="1054"/>
    </row>
    <row r="801" spans="1:31" ht="21.75" customHeight="1" x14ac:dyDescent="0.15">
      <c r="A801" s="937"/>
      <c r="B801" s="570"/>
      <c r="C801" s="570"/>
      <c r="D801" s="706"/>
      <c r="E801" s="572"/>
      <c r="F801" s="573"/>
      <c r="G801" s="609"/>
      <c r="H801" s="602"/>
      <c r="I801" s="101"/>
      <c r="J801" s="99"/>
      <c r="K801" s="959"/>
      <c r="L801" s="1367" t="s">
        <v>852</v>
      </c>
      <c r="M801" s="1368"/>
      <c r="N801" s="1368"/>
      <c r="O801" s="1366">
        <f>6400000/12</f>
        <v>533333.33333333337</v>
      </c>
      <c r="P801" s="1366"/>
      <c r="Q801" s="1366"/>
      <c r="R801" s="913" t="s">
        <v>733</v>
      </c>
      <c r="S801" s="989">
        <v>12</v>
      </c>
      <c r="T801" s="916" t="s">
        <v>615</v>
      </c>
      <c r="U801" s="988">
        <f>O801*S801</f>
        <v>6400000</v>
      </c>
      <c r="AE801" s="1054"/>
    </row>
    <row r="802" spans="1:31" ht="21.75" customHeight="1" x14ac:dyDescent="0.15">
      <c r="A802" s="937"/>
      <c r="B802" s="570"/>
      <c r="C802" s="570"/>
      <c r="D802" s="706"/>
      <c r="E802" s="572"/>
      <c r="F802" s="573"/>
      <c r="G802" s="609"/>
      <c r="H802" s="602"/>
      <c r="I802" s="101"/>
      <c r="J802" s="99"/>
      <c r="K802" s="959"/>
      <c r="L802" s="1367" t="s">
        <v>853</v>
      </c>
      <c r="M802" s="1368"/>
      <c r="N802" s="1368"/>
      <c r="O802" s="1366">
        <f>3840000/12</f>
        <v>320000</v>
      </c>
      <c r="P802" s="1366"/>
      <c r="Q802" s="1366"/>
      <c r="R802" s="913" t="s">
        <v>733</v>
      </c>
      <c r="S802" s="989">
        <v>12</v>
      </c>
      <c r="T802" s="916" t="s">
        <v>615</v>
      </c>
      <c r="U802" s="988">
        <f>O802*S802</f>
        <v>3840000</v>
      </c>
      <c r="AE802" s="1054"/>
    </row>
    <row r="803" spans="1:31" ht="21.75" customHeight="1" x14ac:dyDescent="0.15">
      <c r="A803" s="937"/>
      <c r="B803" s="570"/>
      <c r="C803" s="961" t="s">
        <v>1298</v>
      </c>
      <c r="D803" s="1005">
        <v>6600000</v>
      </c>
      <c r="E803" s="963">
        <f>SUM(H803:K803)</f>
        <v>6600000</v>
      </c>
      <c r="F803" s="963">
        <f>E803-D803</f>
        <v>0</v>
      </c>
      <c r="G803" s="964">
        <f>F803/D803*100</f>
        <v>0</v>
      </c>
      <c r="H803" s="965">
        <f>U803</f>
        <v>6600000</v>
      </c>
      <c r="I803" s="1001"/>
      <c r="J803" s="974">
        <v>0</v>
      </c>
      <c r="K803" s="1002">
        <v>0</v>
      </c>
      <c r="L803" s="1371" t="s">
        <v>1299</v>
      </c>
      <c r="M803" s="1372"/>
      <c r="N803" s="970"/>
      <c r="O803" s="969"/>
      <c r="P803" s="971"/>
      <c r="Q803" s="969"/>
      <c r="R803" s="972"/>
      <c r="S803" s="969"/>
      <c r="T803" s="969"/>
      <c r="U803" s="1008">
        <f>U804+U805</f>
        <v>6600000</v>
      </c>
      <c r="AE803" s="1054"/>
    </row>
    <row r="804" spans="1:31" ht="21.75" customHeight="1" x14ac:dyDescent="0.15">
      <c r="A804" s="937"/>
      <c r="B804" s="570"/>
      <c r="C804" s="570"/>
      <c r="D804" s="706"/>
      <c r="E804" s="572"/>
      <c r="F804" s="573"/>
      <c r="G804" s="609"/>
      <c r="H804" s="602"/>
      <c r="I804" s="101"/>
      <c r="J804" s="99"/>
      <c r="K804" s="959"/>
      <c r="L804" s="1367" t="s">
        <v>1300</v>
      </c>
      <c r="M804" s="1368"/>
      <c r="N804" s="1368"/>
      <c r="O804" s="1366">
        <f>3600000/12</f>
        <v>300000</v>
      </c>
      <c r="P804" s="1366"/>
      <c r="Q804" s="1366"/>
      <c r="R804" s="913" t="s">
        <v>733</v>
      </c>
      <c r="S804" s="989">
        <v>12</v>
      </c>
      <c r="T804" s="916" t="s">
        <v>615</v>
      </c>
      <c r="U804" s="988">
        <f>O804*S804</f>
        <v>3600000</v>
      </c>
      <c r="AE804" s="1054"/>
    </row>
    <row r="805" spans="1:31" ht="21.75" customHeight="1" x14ac:dyDescent="0.15">
      <c r="A805" s="937"/>
      <c r="B805" s="570"/>
      <c r="C805" s="570"/>
      <c r="D805" s="706"/>
      <c r="E805" s="572"/>
      <c r="F805" s="573"/>
      <c r="G805" s="609"/>
      <c r="H805" s="602"/>
      <c r="I805" s="101"/>
      <c r="J805" s="99"/>
      <c r="K805" s="959"/>
      <c r="L805" s="1367" t="s">
        <v>1301</v>
      </c>
      <c r="M805" s="1368"/>
      <c r="N805" s="1368"/>
      <c r="O805" s="1366">
        <f>3000000/12</f>
        <v>250000</v>
      </c>
      <c r="P805" s="1366"/>
      <c r="Q805" s="1366"/>
      <c r="R805" s="913" t="s">
        <v>733</v>
      </c>
      <c r="S805" s="989">
        <v>12</v>
      </c>
      <c r="T805" s="916" t="s">
        <v>615</v>
      </c>
      <c r="U805" s="988">
        <f>O805*S805</f>
        <v>3000000</v>
      </c>
      <c r="AE805" s="1054"/>
    </row>
    <row r="806" spans="1:31" ht="21.75" customHeight="1" x14ac:dyDescent="0.15">
      <c r="A806" s="937"/>
      <c r="B806" s="570"/>
      <c r="C806" s="961" t="s">
        <v>237</v>
      </c>
      <c r="D806" s="1005">
        <v>5000000</v>
      </c>
      <c r="E806" s="963">
        <f>SUM(H806:K806)</f>
        <v>1000000</v>
      </c>
      <c r="F806" s="963">
        <f>E806-D806</f>
        <v>-4000000</v>
      </c>
      <c r="G806" s="964">
        <f>F806/D806*100</f>
        <v>-80</v>
      </c>
      <c r="H806" s="965">
        <f>'다. 세입내역서'!E32</f>
        <v>0</v>
      </c>
      <c r="I806" s="1001"/>
      <c r="J806" s="974">
        <v>0</v>
      </c>
      <c r="K806" s="1002">
        <v>1000000</v>
      </c>
      <c r="L806" s="1371" t="s">
        <v>856</v>
      </c>
      <c r="M806" s="1372"/>
      <c r="N806" s="970"/>
      <c r="O806" s="969"/>
      <c r="P806" s="971"/>
      <c r="Q806" s="969"/>
      <c r="R806" s="972"/>
      <c r="S806" s="969"/>
      <c r="T806" s="969"/>
      <c r="U806" s="1008">
        <f>SUM(U807:U809)</f>
        <v>5000000</v>
      </c>
      <c r="AC806" s="1214">
        <f>K806</f>
        <v>1000000</v>
      </c>
      <c r="AE806" s="1054"/>
    </row>
    <row r="807" spans="1:31" ht="21.75" customHeight="1" x14ac:dyDescent="0.15">
      <c r="A807" s="937"/>
      <c r="B807" s="570"/>
      <c r="C807" s="570"/>
      <c r="D807" s="706"/>
      <c r="E807" s="572"/>
      <c r="F807" s="573"/>
      <c r="G807" s="609"/>
      <c r="H807" s="602"/>
      <c r="I807" s="101"/>
      <c r="J807" s="99"/>
      <c r="K807" s="959"/>
      <c r="L807" s="1369" t="s">
        <v>997</v>
      </c>
      <c r="M807" s="1370"/>
      <c r="N807" s="1370"/>
      <c r="O807" s="1366">
        <v>3900000</v>
      </c>
      <c r="P807" s="1366"/>
      <c r="Q807" s="1366"/>
      <c r="R807" s="913" t="s">
        <v>733</v>
      </c>
      <c r="S807" s="989">
        <v>1</v>
      </c>
      <c r="T807" s="916" t="s">
        <v>615</v>
      </c>
      <c r="U807" s="988">
        <f>O807*S807</f>
        <v>3900000</v>
      </c>
      <c r="AE807" s="1054"/>
    </row>
    <row r="808" spans="1:31" ht="21.75" customHeight="1" x14ac:dyDescent="0.15">
      <c r="A808" s="937"/>
      <c r="B808" s="570"/>
      <c r="C808" s="570"/>
      <c r="D808" s="706"/>
      <c r="E808" s="572"/>
      <c r="F808" s="573"/>
      <c r="G808" s="609"/>
      <c r="H808" s="602"/>
      <c r="I808" s="101"/>
      <c r="J808" s="99"/>
      <c r="K808" s="959"/>
      <c r="L808" s="1369" t="s">
        <v>998</v>
      </c>
      <c r="M808" s="1370"/>
      <c r="N808" s="1370"/>
      <c r="O808" s="1366">
        <v>100000</v>
      </c>
      <c r="P808" s="1366"/>
      <c r="Q808" s="1366"/>
      <c r="R808" s="913" t="s">
        <v>733</v>
      </c>
      <c r="S808" s="989">
        <v>1</v>
      </c>
      <c r="T808" s="916" t="s">
        <v>615</v>
      </c>
      <c r="U808" s="988">
        <f>O808*S808</f>
        <v>100000</v>
      </c>
      <c r="AE808" s="1054"/>
    </row>
    <row r="809" spans="1:31" ht="21.75" customHeight="1" x14ac:dyDescent="0.15">
      <c r="A809" s="937"/>
      <c r="B809" s="570"/>
      <c r="C809" s="570"/>
      <c r="D809" s="706"/>
      <c r="E809" s="572"/>
      <c r="F809" s="573"/>
      <c r="G809" s="609"/>
      <c r="H809" s="602"/>
      <c r="I809" s="101"/>
      <c r="J809" s="99"/>
      <c r="K809" s="959"/>
      <c r="L809" s="1369" t="s">
        <v>999</v>
      </c>
      <c r="M809" s="1370"/>
      <c r="N809" s="1370"/>
      <c r="O809" s="1366">
        <v>1000000</v>
      </c>
      <c r="P809" s="1366"/>
      <c r="Q809" s="1366"/>
      <c r="R809" s="913" t="s">
        <v>733</v>
      </c>
      <c r="S809" s="989">
        <v>1</v>
      </c>
      <c r="T809" s="916" t="s">
        <v>615</v>
      </c>
      <c r="U809" s="988">
        <f>O809*S809</f>
        <v>1000000</v>
      </c>
      <c r="AE809" s="1054"/>
    </row>
    <row r="810" spans="1:31" ht="21.75" customHeight="1" x14ac:dyDescent="0.15">
      <c r="A810" s="937"/>
      <c r="B810" s="570"/>
      <c r="C810" s="961" t="s">
        <v>238</v>
      </c>
      <c r="D810" s="1005">
        <v>2100000</v>
      </c>
      <c r="E810" s="963">
        <f>SUM(H810:K810)</f>
        <v>2100000</v>
      </c>
      <c r="F810" s="963">
        <f>E810-D810</f>
        <v>0</v>
      </c>
      <c r="G810" s="964">
        <f>F810/D810*100</f>
        <v>0</v>
      </c>
      <c r="H810" s="965">
        <f>U810</f>
        <v>2100000</v>
      </c>
      <c r="I810" s="1001"/>
      <c r="J810" s="974">
        <v>0</v>
      </c>
      <c r="K810" s="1002">
        <v>0</v>
      </c>
      <c r="L810" s="1371" t="s">
        <v>879</v>
      </c>
      <c r="M810" s="1372"/>
      <c r="N810" s="970"/>
      <c r="O810" s="969"/>
      <c r="P810" s="971"/>
      <c r="Q810" s="969"/>
      <c r="R810" s="972"/>
      <c r="S810" s="969"/>
      <c r="T810" s="969"/>
      <c r="U810" s="1008">
        <f>SUM(U811:U812)</f>
        <v>2100000</v>
      </c>
      <c r="AE810" s="1054"/>
    </row>
    <row r="811" spans="1:31" ht="21.75" customHeight="1" x14ac:dyDescent="0.15">
      <c r="A811" s="937"/>
      <c r="B811" s="570"/>
      <c r="C811" s="570"/>
      <c r="D811" s="706"/>
      <c r="E811" s="572"/>
      <c r="F811" s="573"/>
      <c r="G811" s="609"/>
      <c r="H811" s="602"/>
      <c r="I811" s="101"/>
      <c r="J811" s="99"/>
      <c r="K811" s="959"/>
      <c r="L811" s="1369" t="s">
        <v>854</v>
      </c>
      <c r="M811" s="1370"/>
      <c r="N811" s="1370"/>
      <c r="O811" s="1366">
        <v>175000</v>
      </c>
      <c r="P811" s="1366"/>
      <c r="Q811" s="1366"/>
      <c r="R811" s="913" t="s">
        <v>733</v>
      </c>
      <c r="S811" s="989">
        <v>12</v>
      </c>
      <c r="T811" s="916" t="s">
        <v>615</v>
      </c>
      <c r="U811" s="988">
        <f>O811*S811</f>
        <v>2100000</v>
      </c>
      <c r="AE811" s="1054"/>
    </row>
    <row r="812" spans="1:31" ht="21.75" customHeight="1" x14ac:dyDescent="0.15">
      <c r="A812" s="937"/>
      <c r="B812" s="570"/>
      <c r="C812" s="570"/>
      <c r="D812" s="706"/>
      <c r="E812" s="572"/>
      <c r="F812" s="573"/>
      <c r="G812" s="942"/>
      <c r="H812" s="602"/>
      <c r="I812" s="101"/>
      <c r="J812" s="99"/>
      <c r="K812" s="959"/>
      <c r="L812" s="1369"/>
      <c r="M812" s="1370"/>
      <c r="N812" s="1370"/>
      <c r="O812" s="1366"/>
      <c r="P812" s="1366"/>
      <c r="Q812" s="1366"/>
      <c r="R812" s="913" t="s">
        <v>733</v>
      </c>
      <c r="S812" s="989"/>
      <c r="T812" s="916" t="s">
        <v>615</v>
      </c>
      <c r="U812" s="988">
        <f>O812*S812</f>
        <v>0</v>
      </c>
      <c r="AE812" s="1054"/>
    </row>
    <row r="813" spans="1:31" ht="21.75" customHeight="1" x14ac:dyDescent="0.15">
      <c r="A813" s="937"/>
      <c r="B813" s="570"/>
      <c r="C813" s="961" t="s">
        <v>932</v>
      </c>
      <c r="D813" s="1005">
        <v>7140000</v>
      </c>
      <c r="E813" s="963">
        <f>SUM(H813:K813)</f>
        <v>0</v>
      </c>
      <c r="F813" s="963">
        <f>E813-D813</f>
        <v>-7140000</v>
      </c>
      <c r="G813" s="964">
        <f>F813/D813*100</f>
        <v>-100</v>
      </c>
      <c r="H813" s="965"/>
      <c r="I813" s="1001"/>
      <c r="J813" s="974">
        <v>0</v>
      </c>
      <c r="K813" s="1002">
        <f>U813</f>
        <v>0</v>
      </c>
      <c r="L813" s="1371" t="s">
        <v>933</v>
      </c>
      <c r="M813" s="1372"/>
      <c r="N813" s="970"/>
      <c r="O813" s="969"/>
      <c r="P813" s="971"/>
      <c r="Q813" s="969"/>
      <c r="R813" s="972"/>
      <c r="S813" s="969"/>
      <c r="T813" s="969"/>
      <c r="U813" s="1008">
        <f>SUM(U814)</f>
        <v>0</v>
      </c>
      <c r="AC813" s="1214">
        <f>K813</f>
        <v>0</v>
      </c>
      <c r="AE813" s="1054"/>
    </row>
    <row r="814" spans="1:31" ht="21.75" customHeight="1" x14ac:dyDescent="0.15">
      <c r="A814" s="937"/>
      <c r="B814" s="570"/>
      <c r="C814" s="570"/>
      <c r="D814" s="706"/>
      <c r="E814" s="572"/>
      <c r="F814" s="573"/>
      <c r="G814" s="942"/>
      <c r="H814" s="602"/>
      <c r="I814" s="101"/>
      <c r="J814" s="99"/>
      <c r="K814" s="959"/>
      <c r="L814" s="1369"/>
      <c r="M814" s="1370"/>
      <c r="N814" s="1370"/>
      <c r="O814" s="1366"/>
      <c r="P814" s="1366"/>
      <c r="Q814" s="1366"/>
      <c r="R814" s="913" t="s">
        <v>733</v>
      </c>
      <c r="S814" s="989">
        <v>1</v>
      </c>
      <c r="T814" s="916" t="s">
        <v>615</v>
      </c>
      <c r="U814" s="988">
        <f>O814*S814</f>
        <v>0</v>
      </c>
      <c r="AE814" s="1054"/>
    </row>
    <row r="815" spans="1:31" ht="21.75" customHeight="1" x14ac:dyDescent="0.15">
      <c r="A815" s="937"/>
      <c r="B815" s="570"/>
      <c r="C815" s="961" t="s">
        <v>946</v>
      </c>
      <c r="D815" s="1005">
        <v>21047100</v>
      </c>
      <c r="E815" s="963">
        <f>SUM(H815:K815)</f>
        <v>9000000</v>
      </c>
      <c r="F815" s="963">
        <f>E815-D815</f>
        <v>-12047100</v>
      </c>
      <c r="G815" s="964">
        <v>100</v>
      </c>
      <c r="H815" s="965"/>
      <c r="I815" s="1001"/>
      <c r="J815" s="974">
        <v>0</v>
      </c>
      <c r="K815" s="1002">
        <f>U815</f>
        <v>9000000</v>
      </c>
      <c r="L815" s="1371" t="s">
        <v>947</v>
      </c>
      <c r="M815" s="1372"/>
      <c r="N815" s="970"/>
      <c r="O815" s="969"/>
      <c r="P815" s="971"/>
      <c r="Q815" s="969"/>
      <c r="R815" s="972"/>
      <c r="S815" s="969"/>
      <c r="T815" s="969"/>
      <c r="U815" s="1008">
        <f>SUM(U816)</f>
        <v>9000000</v>
      </c>
      <c r="AC815" s="1214">
        <f>K815</f>
        <v>9000000</v>
      </c>
      <c r="AE815" s="1054"/>
    </row>
    <row r="816" spans="1:31" ht="21.75" customHeight="1" x14ac:dyDescent="0.15">
      <c r="A816" s="937"/>
      <c r="B816" s="570"/>
      <c r="C816" s="570"/>
      <c r="D816" s="706"/>
      <c r="E816" s="572"/>
      <c r="F816" s="573"/>
      <c r="G816" s="942"/>
      <c r="H816" s="602"/>
      <c r="I816" s="101"/>
      <c r="J816" s="99"/>
      <c r="K816" s="959"/>
      <c r="L816" s="1369" t="s">
        <v>948</v>
      </c>
      <c r="M816" s="1370"/>
      <c r="N816" s="1370"/>
      <c r="O816" s="1366">
        <f>ROUNDUP(U816/S816,-1)</f>
        <v>1000000</v>
      </c>
      <c r="P816" s="1366"/>
      <c r="Q816" s="1366"/>
      <c r="R816" s="913" t="s">
        <v>733</v>
      </c>
      <c r="S816" s="989">
        <v>9</v>
      </c>
      <c r="T816" s="916" t="s">
        <v>615</v>
      </c>
      <c r="U816" s="988">
        <v>9000000</v>
      </c>
      <c r="AE816" s="1054"/>
    </row>
    <row r="817" spans="1:31" ht="21.75" customHeight="1" x14ac:dyDescent="0.15">
      <c r="A817" s="937"/>
      <c r="B817" s="579" t="s">
        <v>239</v>
      </c>
      <c r="C817" s="579" t="s">
        <v>93</v>
      </c>
      <c r="D817" s="826">
        <v>3600000</v>
      </c>
      <c r="E817" s="826">
        <f>E818</f>
        <v>3600000</v>
      </c>
      <c r="F817" s="580">
        <f>E817-D817</f>
        <v>0</v>
      </c>
      <c r="G817" s="945">
        <f>F817/D817*100</f>
        <v>0</v>
      </c>
      <c r="H817" s="603">
        <f>H818</f>
        <v>0</v>
      </c>
      <c r="I817" s="581">
        <f>I818</f>
        <v>0</v>
      </c>
      <c r="J817" s="581">
        <f>J818</f>
        <v>0</v>
      </c>
      <c r="K817" s="956">
        <f>K818</f>
        <v>3600000</v>
      </c>
      <c r="L817" s="947" t="s">
        <v>858</v>
      </c>
      <c r="M817" s="596"/>
      <c r="N817" s="596"/>
      <c r="O817" s="596"/>
      <c r="P817" s="596"/>
      <c r="Q817" s="596"/>
      <c r="R817" s="596"/>
      <c r="S817" s="596"/>
      <c r="T817" s="596"/>
      <c r="U817" s="1009">
        <f>U818</f>
        <v>3600000</v>
      </c>
      <c r="AE817" s="1054"/>
    </row>
    <row r="818" spans="1:31" ht="21.75" customHeight="1" x14ac:dyDescent="0.15">
      <c r="A818" s="937"/>
      <c r="B818" s="570"/>
      <c r="C818" s="961" t="s">
        <v>240</v>
      </c>
      <c r="D818" s="1005">
        <v>3600000</v>
      </c>
      <c r="E818" s="963">
        <f>SUM(H818:K818)</f>
        <v>3600000</v>
      </c>
      <c r="F818" s="963">
        <f>E818-D818</f>
        <v>0</v>
      </c>
      <c r="G818" s="964">
        <f>F818/D818*100</f>
        <v>0</v>
      </c>
      <c r="H818" s="1000"/>
      <c r="I818" s="1001">
        <f>I820</f>
        <v>0</v>
      </c>
      <c r="J818" s="1001">
        <v>0</v>
      </c>
      <c r="K818" s="1002">
        <f>U818</f>
        <v>3600000</v>
      </c>
      <c r="L818" s="1006" t="s">
        <v>859</v>
      </c>
      <c r="M818" s="1007"/>
      <c r="N818" s="970"/>
      <c r="O818" s="969"/>
      <c r="P818" s="971"/>
      <c r="Q818" s="969"/>
      <c r="R818" s="972"/>
      <c r="S818" s="969"/>
      <c r="T818" s="969"/>
      <c r="U818" s="1008">
        <f>U819</f>
        <v>3600000</v>
      </c>
      <c r="AC818" s="1214">
        <f>K818</f>
        <v>3600000</v>
      </c>
      <c r="AE818" s="1054"/>
    </row>
    <row r="819" spans="1:31" ht="21.75" customHeight="1" x14ac:dyDescent="0.15">
      <c r="A819" s="937"/>
      <c r="B819" s="570"/>
      <c r="C819" s="570"/>
      <c r="D819" s="706"/>
      <c r="E819" s="572"/>
      <c r="F819" s="573"/>
      <c r="G819" s="942"/>
      <c r="H819" s="605"/>
      <c r="I819" s="101"/>
      <c r="J819" s="101"/>
      <c r="K819" s="959"/>
      <c r="L819" s="1369" t="s">
        <v>857</v>
      </c>
      <c r="M819" s="1370"/>
      <c r="N819" s="1370"/>
      <c r="O819" s="1366">
        <v>300000</v>
      </c>
      <c r="P819" s="1366"/>
      <c r="Q819" s="1366"/>
      <c r="R819" s="913" t="s">
        <v>733</v>
      </c>
      <c r="S819" s="989">
        <v>12</v>
      </c>
      <c r="T819" s="916" t="s">
        <v>615</v>
      </c>
      <c r="U819" s="988">
        <f>O819*S819</f>
        <v>3600000</v>
      </c>
      <c r="AE819" s="1054"/>
    </row>
    <row r="820" spans="1:31" ht="21.75" customHeight="1" x14ac:dyDescent="0.15">
      <c r="A820" s="938" t="s">
        <v>241</v>
      </c>
      <c r="B820" s="593" t="s">
        <v>91</v>
      </c>
      <c r="C820" s="593"/>
      <c r="D820" s="709">
        <v>2088570</v>
      </c>
      <c r="E820" s="709">
        <f>E821</f>
        <v>1609200</v>
      </c>
      <c r="F820" s="589">
        <f>E820-D820</f>
        <v>-479370</v>
      </c>
      <c r="G820" s="944">
        <f>F820/D820*100</f>
        <v>-22.952067682672833</v>
      </c>
      <c r="H820" s="606">
        <f t="shared" ref="H820:K821" si="49">H821</f>
        <v>0</v>
      </c>
      <c r="I820" s="100">
        <f t="shared" si="49"/>
        <v>0</v>
      </c>
      <c r="J820" s="100">
        <f t="shared" si="49"/>
        <v>0</v>
      </c>
      <c r="K820" s="960">
        <f t="shared" si="49"/>
        <v>1609200</v>
      </c>
      <c r="L820" s="1017" t="s">
        <v>865</v>
      </c>
      <c r="M820" s="1018"/>
      <c r="N820" s="1018"/>
      <c r="O820" s="1018"/>
      <c r="P820" s="1018"/>
      <c r="Q820" s="1018"/>
      <c r="R820" s="1018"/>
      <c r="S820" s="1018"/>
      <c r="T820" s="1018"/>
      <c r="U820" s="1019">
        <f>U821</f>
        <v>1609200</v>
      </c>
      <c r="AE820" s="1054"/>
    </row>
    <row r="821" spans="1:31" ht="21.75" customHeight="1" x14ac:dyDescent="0.15">
      <c r="A821" s="937"/>
      <c r="B821" s="579" t="s">
        <v>241</v>
      </c>
      <c r="C821" s="579" t="s">
        <v>93</v>
      </c>
      <c r="D821" s="826">
        <v>2088570</v>
      </c>
      <c r="E821" s="826">
        <f>E822</f>
        <v>1609200</v>
      </c>
      <c r="F821" s="580">
        <f>E821-D821</f>
        <v>-479370</v>
      </c>
      <c r="G821" s="945">
        <f>F821/D821*100</f>
        <v>-22.952067682672833</v>
      </c>
      <c r="H821" s="603">
        <f t="shared" si="49"/>
        <v>0</v>
      </c>
      <c r="I821" s="581">
        <f t="shared" si="49"/>
        <v>0</v>
      </c>
      <c r="J821" s="581">
        <f t="shared" si="49"/>
        <v>0</v>
      </c>
      <c r="K821" s="956">
        <f t="shared" si="49"/>
        <v>1609200</v>
      </c>
      <c r="L821" s="947" t="s">
        <v>865</v>
      </c>
      <c r="M821" s="596"/>
      <c r="N821" s="596"/>
      <c r="O821" s="596"/>
      <c r="P821" s="596"/>
      <c r="Q821" s="596"/>
      <c r="R821" s="596"/>
      <c r="S821" s="596"/>
      <c r="T821" s="596"/>
      <c r="U821" s="1009">
        <f>U822</f>
        <v>1609200</v>
      </c>
      <c r="AE821" s="1054"/>
    </row>
    <row r="822" spans="1:31" ht="21.75" customHeight="1" x14ac:dyDescent="0.15">
      <c r="A822" s="937"/>
      <c r="B822" s="570"/>
      <c r="C822" s="961" t="s">
        <v>241</v>
      </c>
      <c r="D822" s="1005">
        <v>2088570</v>
      </c>
      <c r="E822" s="963">
        <f>SUM(H822:K822)</f>
        <v>1609200</v>
      </c>
      <c r="F822" s="963">
        <f>E822-D822</f>
        <v>-479370</v>
      </c>
      <c r="G822" s="964">
        <f>F822/D822*100</f>
        <v>-22.952067682672833</v>
      </c>
      <c r="H822" s="1000">
        <v>0</v>
      </c>
      <c r="I822" s="1001">
        <f>I827</f>
        <v>0</v>
      </c>
      <c r="J822" s="1001"/>
      <c r="K822" s="1002">
        <v>1609200</v>
      </c>
      <c r="L822" s="1048" t="s">
        <v>878</v>
      </c>
      <c r="M822" s="1007"/>
      <c r="N822" s="1007"/>
      <c r="O822" s="1007"/>
      <c r="P822" s="1007"/>
      <c r="Q822" s="1007"/>
      <c r="R822" s="1007"/>
      <c r="S822" s="1007"/>
      <c r="T822" s="1007"/>
      <c r="U822" s="1039">
        <f>SUM(U823:U826)</f>
        <v>1609200</v>
      </c>
      <c r="V822" s="544">
        <f>U822-H822-I822-J822-K822</f>
        <v>0</v>
      </c>
      <c r="AD822" s="1214">
        <f>K822</f>
        <v>1609200</v>
      </c>
      <c r="AE822" s="1054"/>
    </row>
    <row r="823" spans="1:31" ht="21.75" customHeight="1" x14ac:dyDescent="0.15">
      <c r="A823" s="937"/>
      <c r="B823" s="570"/>
      <c r="C823" s="570"/>
      <c r="D823" s="706"/>
      <c r="E823" s="572"/>
      <c r="F823" s="573"/>
      <c r="G823" s="942"/>
      <c r="H823" s="605"/>
      <c r="I823" s="101"/>
      <c r="J823" s="101"/>
      <c r="K823" s="959"/>
      <c r="L823" s="1369" t="s">
        <v>1311</v>
      </c>
      <c r="M823" s="1370"/>
      <c r="N823" s="1370"/>
      <c r="O823" s="1366">
        <v>440000</v>
      </c>
      <c r="P823" s="1366"/>
      <c r="Q823" s="1366"/>
      <c r="R823" s="913" t="s">
        <v>733</v>
      </c>
      <c r="S823" s="989">
        <v>1</v>
      </c>
      <c r="T823" s="916" t="s">
        <v>615</v>
      </c>
      <c r="U823" s="988">
        <v>407000</v>
      </c>
      <c r="AE823" s="1054"/>
    </row>
    <row r="824" spans="1:31" ht="21.75" customHeight="1" x14ac:dyDescent="0.15">
      <c r="A824" s="937"/>
      <c r="B824" s="570"/>
      <c r="C824" s="570"/>
      <c r="D824" s="706"/>
      <c r="E824" s="572"/>
      <c r="F824" s="573"/>
      <c r="G824" s="942"/>
      <c r="H824" s="605"/>
      <c r="I824" s="101"/>
      <c r="J824" s="101"/>
      <c r="K824" s="959"/>
      <c r="L824" s="1369" t="s">
        <v>1312</v>
      </c>
      <c r="M824" s="1370"/>
      <c r="N824" s="1370"/>
      <c r="O824" s="1366">
        <v>52200</v>
      </c>
      <c r="P824" s="1366"/>
      <c r="Q824" s="1366"/>
      <c r="R824" s="913" t="s">
        <v>733</v>
      </c>
      <c r="S824" s="989">
        <v>1</v>
      </c>
      <c r="T824" s="916" t="s">
        <v>615</v>
      </c>
      <c r="U824" s="988">
        <f t="shared" ref="U824:U825" si="50">O824*S824</f>
        <v>52200</v>
      </c>
      <c r="AE824" s="1054"/>
    </row>
    <row r="825" spans="1:31" ht="21.75" customHeight="1" x14ac:dyDescent="0.15">
      <c r="A825" s="937"/>
      <c r="B825" s="570"/>
      <c r="C825" s="570"/>
      <c r="D825" s="706"/>
      <c r="E825" s="572"/>
      <c r="F825" s="573"/>
      <c r="G825" s="942"/>
      <c r="H825" s="605"/>
      <c r="I825" s="101"/>
      <c r="J825" s="101"/>
      <c r="K825" s="959"/>
      <c r="L825" s="1369" t="s">
        <v>1313</v>
      </c>
      <c r="M825" s="1370"/>
      <c r="N825" s="1370"/>
      <c r="O825" s="1366">
        <v>600000</v>
      </c>
      <c r="P825" s="1366"/>
      <c r="Q825" s="1366"/>
      <c r="R825" s="913" t="s">
        <v>733</v>
      </c>
      <c r="S825" s="989">
        <v>1</v>
      </c>
      <c r="T825" s="916" t="s">
        <v>615</v>
      </c>
      <c r="U825" s="988">
        <f t="shared" si="50"/>
        <v>600000</v>
      </c>
      <c r="AE825" s="1054"/>
    </row>
    <row r="826" spans="1:31" ht="21.75" customHeight="1" x14ac:dyDescent="0.15">
      <c r="A826" s="937"/>
      <c r="B826" s="570"/>
      <c r="C826" s="570"/>
      <c r="D826" s="706"/>
      <c r="E826" s="572"/>
      <c r="F826" s="573"/>
      <c r="G826" s="942"/>
      <c r="H826" s="605"/>
      <c r="I826" s="101"/>
      <c r="J826" s="101"/>
      <c r="K826" s="959"/>
      <c r="L826" s="1369" t="s">
        <v>1314</v>
      </c>
      <c r="M826" s="1370"/>
      <c r="N826" s="1370"/>
      <c r="O826" s="1366">
        <v>550000</v>
      </c>
      <c r="P826" s="1366"/>
      <c r="Q826" s="1366"/>
      <c r="R826" s="913" t="s">
        <v>733</v>
      </c>
      <c r="S826" s="989">
        <v>1</v>
      </c>
      <c r="T826" s="916" t="s">
        <v>615</v>
      </c>
      <c r="U826" s="988">
        <f>O826*S826</f>
        <v>550000</v>
      </c>
      <c r="AE826" s="1054"/>
    </row>
    <row r="827" spans="1:31" ht="21.75" customHeight="1" x14ac:dyDescent="0.15">
      <c r="A827" s="938" t="s">
        <v>134</v>
      </c>
      <c r="B827" s="593" t="s">
        <v>91</v>
      </c>
      <c r="C827" s="593"/>
      <c r="D827" s="709">
        <v>473364</v>
      </c>
      <c r="E827" s="709">
        <f>E828</f>
        <v>549730</v>
      </c>
      <c r="F827" s="589">
        <f>E827-D827</f>
        <v>76366</v>
      </c>
      <c r="G827" s="944">
        <f>F827/D827*100</f>
        <v>16.1326167600409</v>
      </c>
      <c r="H827" s="606">
        <f t="shared" ref="H827:K828" si="51">H828</f>
        <v>549730</v>
      </c>
      <c r="I827" s="100">
        <f t="shared" si="51"/>
        <v>0</v>
      </c>
      <c r="J827" s="100">
        <f t="shared" si="51"/>
        <v>0</v>
      </c>
      <c r="K827" s="960">
        <f t="shared" si="51"/>
        <v>0</v>
      </c>
      <c r="L827" s="1017" t="s">
        <v>875</v>
      </c>
      <c r="M827" s="1018"/>
      <c r="N827" s="1018"/>
      <c r="O827" s="1018"/>
      <c r="P827" s="1018"/>
      <c r="Q827" s="1018"/>
      <c r="R827" s="1018"/>
      <c r="S827" s="1018"/>
      <c r="T827" s="1018"/>
      <c r="U827" s="1019">
        <f>U828</f>
        <v>549730</v>
      </c>
      <c r="AE827" s="1054"/>
    </row>
    <row r="828" spans="1:31" ht="21.75" customHeight="1" x14ac:dyDescent="0.15">
      <c r="A828" s="937"/>
      <c r="B828" s="579" t="s">
        <v>134</v>
      </c>
      <c r="C828" s="579" t="s">
        <v>93</v>
      </c>
      <c r="D828" s="826">
        <v>473364</v>
      </c>
      <c r="E828" s="826">
        <f>E829</f>
        <v>549730</v>
      </c>
      <c r="F828" s="580">
        <f>E828-D828</f>
        <v>76366</v>
      </c>
      <c r="G828" s="945">
        <f>F828/D828*100</f>
        <v>16.1326167600409</v>
      </c>
      <c r="H828" s="603">
        <f t="shared" si="51"/>
        <v>549730</v>
      </c>
      <c r="I828" s="581">
        <f t="shared" si="51"/>
        <v>0</v>
      </c>
      <c r="J828" s="581">
        <f t="shared" si="51"/>
        <v>0</v>
      </c>
      <c r="K828" s="956">
        <f t="shared" si="51"/>
        <v>0</v>
      </c>
      <c r="L828" s="947" t="s">
        <v>875</v>
      </c>
      <c r="M828" s="596"/>
      <c r="N828" s="596"/>
      <c r="O828" s="596"/>
      <c r="P828" s="596"/>
      <c r="Q828" s="596"/>
      <c r="R828" s="596"/>
      <c r="S828" s="596"/>
      <c r="T828" s="596"/>
      <c r="U828" s="1009">
        <f>U829</f>
        <v>549730</v>
      </c>
      <c r="AE828" s="1054"/>
    </row>
    <row r="829" spans="1:31" ht="21.75" customHeight="1" x14ac:dyDescent="0.15">
      <c r="A829" s="937"/>
      <c r="B829" s="570"/>
      <c r="C829" s="961" t="s">
        <v>134</v>
      </c>
      <c r="D829" s="1005">
        <v>473364</v>
      </c>
      <c r="E829" s="963">
        <f>SUM(H829:K829)</f>
        <v>549730</v>
      </c>
      <c r="F829" s="963">
        <f>E829-D829</f>
        <v>76366</v>
      </c>
      <c r="G829" s="964">
        <f>F829/D829*100</f>
        <v>16.1326167600409</v>
      </c>
      <c r="H829" s="1000">
        <v>549730</v>
      </c>
      <c r="I829" s="1001"/>
      <c r="J829" s="1001"/>
      <c r="K829" s="1002"/>
      <c r="L829" s="1371" t="s">
        <v>877</v>
      </c>
      <c r="M829" s="1372"/>
      <c r="N829" s="1372"/>
      <c r="O829" s="1358"/>
      <c r="P829" s="1358"/>
      <c r="Q829" s="1358"/>
      <c r="R829" s="993"/>
      <c r="S829" s="1050"/>
      <c r="T829" s="1051"/>
      <c r="U829" s="1053">
        <f>U830</f>
        <v>549730</v>
      </c>
      <c r="AE829" s="1054"/>
    </row>
    <row r="830" spans="1:31" ht="21.75" customHeight="1" x14ac:dyDescent="0.15">
      <c r="A830" s="937"/>
      <c r="B830" s="570"/>
      <c r="C830" s="570"/>
      <c r="D830" s="706"/>
      <c r="E830" s="572"/>
      <c r="F830" s="573"/>
      <c r="G830" s="942"/>
      <c r="H830" s="1049"/>
      <c r="I830" s="101"/>
      <c r="J830" s="101"/>
      <c r="K830" s="959"/>
      <c r="L830" s="1369" t="s">
        <v>134</v>
      </c>
      <c r="M830" s="1370"/>
      <c r="N830" s="1370"/>
      <c r="O830" s="1366">
        <f>E829</f>
        <v>549730</v>
      </c>
      <c r="P830" s="1366"/>
      <c r="Q830" s="1366"/>
      <c r="R830" s="913" t="s">
        <v>733</v>
      </c>
      <c r="S830" s="989">
        <v>1</v>
      </c>
      <c r="T830" s="916" t="s">
        <v>615</v>
      </c>
      <c r="U830" s="988">
        <f>O830*S830</f>
        <v>549730</v>
      </c>
      <c r="AE830" s="1054"/>
    </row>
    <row r="831" spans="1:31" ht="21.75" customHeight="1" x14ac:dyDescent="0.15">
      <c r="A831" s="938" t="s">
        <v>135</v>
      </c>
      <c r="B831" s="593" t="s">
        <v>91</v>
      </c>
      <c r="C831" s="593"/>
      <c r="D831" s="709">
        <v>250616006</v>
      </c>
      <c r="E831" s="709">
        <f>E832</f>
        <v>50002900</v>
      </c>
      <c r="F831" s="589">
        <f>E831-D831</f>
        <v>-200613106</v>
      </c>
      <c r="G831" s="944">
        <f>F831/D831*100</f>
        <v>-80.048002201423643</v>
      </c>
      <c r="H831" s="607">
        <f t="shared" ref="H831:K832" si="52">H832</f>
        <v>50000000</v>
      </c>
      <c r="I831" s="100">
        <f t="shared" si="52"/>
        <v>0</v>
      </c>
      <c r="J831" s="100">
        <f t="shared" si="52"/>
        <v>0</v>
      </c>
      <c r="K831" s="960">
        <f t="shared" si="52"/>
        <v>2900</v>
      </c>
      <c r="L831" s="1017" t="s">
        <v>876</v>
      </c>
      <c r="M831" s="1018"/>
      <c r="N831" s="1018"/>
      <c r="O831" s="1018"/>
      <c r="P831" s="1018"/>
      <c r="Q831" s="1018"/>
      <c r="R831" s="1018"/>
      <c r="S831" s="1018"/>
      <c r="T831" s="1018"/>
      <c r="U831" s="1019">
        <f>U832</f>
        <v>50000000</v>
      </c>
      <c r="AE831" s="1054"/>
    </row>
    <row r="832" spans="1:31" ht="21.75" customHeight="1" x14ac:dyDescent="0.15">
      <c r="A832" s="937"/>
      <c r="B832" s="579" t="s">
        <v>135</v>
      </c>
      <c r="C832" s="579" t="s">
        <v>93</v>
      </c>
      <c r="D832" s="826">
        <v>250616006</v>
      </c>
      <c r="E832" s="826">
        <f>E833</f>
        <v>50002900</v>
      </c>
      <c r="F832" s="580">
        <f>E832-D832</f>
        <v>-200613106</v>
      </c>
      <c r="G832" s="945">
        <f>F832/D832*100</f>
        <v>-80.048002201423643</v>
      </c>
      <c r="H832" s="608">
        <f t="shared" si="52"/>
        <v>50000000</v>
      </c>
      <c r="I832" s="598">
        <f t="shared" si="52"/>
        <v>0</v>
      </c>
      <c r="J832" s="598">
        <f t="shared" si="52"/>
        <v>0</v>
      </c>
      <c r="K832" s="956">
        <f t="shared" si="52"/>
        <v>2900</v>
      </c>
      <c r="L832" s="947" t="s">
        <v>876</v>
      </c>
      <c r="M832" s="596"/>
      <c r="N832" s="596"/>
      <c r="O832" s="596"/>
      <c r="P832" s="596"/>
      <c r="Q832" s="596"/>
      <c r="R832" s="596"/>
      <c r="S832" s="596"/>
      <c r="T832" s="596"/>
      <c r="U832" s="1009">
        <f>U833</f>
        <v>50000000</v>
      </c>
      <c r="AE832" s="1054"/>
    </row>
    <row r="833" spans="1:31" ht="22.5" customHeight="1" x14ac:dyDescent="0.15">
      <c r="A833" s="937"/>
      <c r="B833" s="570"/>
      <c r="C833" s="961" t="s">
        <v>242</v>
      </c>
      <c r="D833" s="1005">
        <v>250616006</v>
      </c>
      <c r="E833" s="963">
        <f>SUM(H833:K833)</f>
        <v>50002900</v>
      </c>
      <c r="F833" s="963">
        <f>E833-D833</f>
        <v>-200613106</v>
      </c>
      <c r="G833" s="964">
        <f>F833/D833*100</f>
        <v>-80.048002201423643</v>
      </c>
      <c r="H833" s="1000">
        <v>50000000</v>
      </c>
      <c r="I833" s="1001"/>
      <c r="J833" s="1001"/>
      <c r="K833" s="1002">
        <v>2900</v>
      </c>
      <c r="L833" s="1048" t="s">
        <v>1315</v>
      </c>
      <c r="M833" s="1007"/>
      <c r="N833" s="1007"/>
      <c r="O833" s="1007"/>
      <c r="P833" s="1007"/>
      <c r="Q833" s="1007"/>
      <c r="R833" s="1007"/>
      <c r="S833" s="1007"/>
      <c r="T833" s="1007"/>
      <c r="U833" s="1039">
        <f>SUM(U834:U846)</f>
        <v>50000000</v>
      </c>
      <c r="AE833" s="1054"/>
    </row>
    <row r="834" spans="1:31" ht="21" customHeight="1" x14ac:dyDescent="0.15">
      <c r="A834" s="1040"/>
      <c r="B834" s="1041"/>
      <c r="C834" s="1041"/>
      <c r="D834" s="1042"/>
      <c r="E834" s="1043"/>
      <c r="F834" s="1044"/>
      <c r="G834" s="796"/>
      <c r="H834" s="1045"/>
      <c r="I834" s="1046"/>
      <c r="J834" s="1046"/>
      <c r="K834" s="1047"/>
      <c r="L834" s="1369" t="s">
        <v>866</v>
      </c>
      <c r="M834" s="1370"/>
      <c r="N834" s="1370"/>
      <c r="O834" s="1366">
        <v>40000000</v>
      </c>
      <c r="P834" s="1366"/>
      <c r="Q834" s="1366"/>
      <c r="R834" s="913" t="s">
        <v>733</v>
      </c>
      <c r="S834" s="989">
        <v>1</v>
      </c>
      <c r="T834" s="916" t="s">
        <v>615</v>
      </c>
      <c r="U834" s="988">
        <f t="shared" ref="U834:U846" si="53">O834*S834</f>
        <v>40000000</v>
      </c>
      <c r="AE834" s="1054"/>
    </row>
    <row r="835" spans="1:31" ht="21" customHeight="1" x14ac:dyDescent="0.15">
      <c r="A835" s="1026"/>
      <c r="B835" s="1027"/>
      <c r="C835" s="1027"/>
      <c r="D835" s="1028"/>
      <c r="E835" s="669"/>
      <c r="F835" s="1029"/>
      <c r="G835" s="662"/>
      <c r="H835" s="605"/>
      <c r="I835" s="101"/>
      <c r="J835" s="101"/>
      <c r="K835" s="959"/>
      <c r="L835" s="1369" t="s">
        <v>867</v>
      </c>
      <c r="M835" s="1370"/>
      <c r="N835" s="1370"/>
      <c r="O835" s="1366">
        <v>100000</v>
      </c>
      <c r="P835" s="1366"/>
      <c r="Q835" s="1366"/>
      <c r="R835" s="913" t="s">
        <v>733</v>
      </c>
      <c r="S835" s="989">
        <v>1</v>
      </c>
      <c r="T835" s="916" t="s">
        <v>615</v>
      </c>
      <c r="U835" s="988">
        <f t="shared" si="53"/>
        <v>100000</v>
      </c>
      <c r="AE835" s="1054"/>
    </row>
    <row r="836" spans="1:31" ht="21" customHeight="1" x14ac:dyDescent="0.15">
      <c r="A836" s="1026"/>
      <c r="B836" s="1027"/>
      <c r="C836" s="1027"/>
      <c r="D836" s="1028"/>
      <c r="E836" s="669"/>
      <c r="F836" s="1029"/>
      <c r="G836" s="662"/>
      <c r="H836" s="605"/>
      <c r="I836" s="101"/>
      <c r="J836" s="101"/>
      <c r="K836" s="959"/>
      <c r="L836" s="1369" t="s">
        <v>1001</v>
      </c>
      <c r="M836" s="1370"/>
      <c r="N836" s="1370"/>
      <c r="O836" s="1366">
        <v>9850000</v>
      </c>
      <c r="P836" s="1366"/>
      <c r="Q836" s="1366"/>
      <c r="R836" s="913" t="s">
        <v>733</v>
      </c>
      <c r="S836" s="989">
        <v>1</v>
      </c>
      <c r="T836" s="916" t="s">
        <v>615</v>
      </c>
      <c r="U836" s="988">
        <f t="shared" si="53"/>
        <v>9850000</v>
      </c>
      <c r="AE836" s="1054"/>
    </row>
    <row r="837" spans="1:31" ht="21" customHeight="1" x14ac:dyDescent="0.15">
      <c r="A837" s="1031"/>
      <c r="B837" s="1032"/>
      <c r="C837" s="1032"/>
      <c r="D837" s="1033"/>
      <c r="E837" s="1034"/>
      <c r="F837" s="1035"/>
      <c r="G837" s="1037"/>
      <c r="H837" s="1244"/>
      <c r="I837" s="1245"/>
      <c r="J837" s="1245"/>
      <c r="K837" s="1246"/>
      <c r="L837" s="1403" t="s">
        <v>1002</v>
      </c>
      <c r="M837" s="1404"/>
      <c r="N837" s="1404"/>
      <c r="O837" s="1405">
        <v>50000</v>
      </c>
      <c r="P837" s="1405"/>
      <c r="Q837" s="1405"/>
      <c r="R837" s="1020" t="s">
        <v>733</v>
      </c>
      <c r="S837" s="1021">
        <v>1</v>
      </c>
      <c r="T837" s="1022" t="s">
        <v>615</v>
      </c>
      <c r="U837" s="1052">
        <f t="shared" si="53"/>
        <v>50000</v>
      </c>
      <c r="AE837" s="1054"/>
    </row>
    <row r="838" spans="1:31" ht="21" hidden="1" customHeight="1" x14ac:dyDescent="0.15">
      <c r="A838" s="1040"/>
      <c r="B838" s="1041"/>
      <c r="C838" s="1041"/>
      <c r="D838" s="1042"/>
      <c r="E838" s="1043"/>
      <c r="F838" s="1044"/>
      <c r="G838" s="796"/>
      <c r="H838" s="1045"/>
      <c r="I838" s="1046"/>
      <c r="J838" s="1046"/>
      <c r="K838" s="1047"/>
      <c r="L838" s="1400" t="s">
        <v>868</v>
      </c>
      <c r="M838" s="1401"/>
      <c r="N838" s="1401"/>
      <c r="O838" s="1402"/>
      <c r="P838" s="1402"/>
      <c r="Q838" s="1402"/>
      <c r="R838" s="1163" t="s">
        <v>733</v>
      </c>
      <c r="S838" s="1164">
        <v>1</v>
      </c>
      <c r="T838" s="1165" t="s">
        <v>615</v>
      </c>
      <c r="U838" s="1166">
        <f t="shared" si="53"/>
        <v>0</v>
      </c>
      <c r="AE838" s="1054"/>
    </row>
    <row r="839" spans="1:31" ht="21" hidden="1" customHeight="1" x14ac:dyDescent="0.15">
      <c r="A839" s="1026"/>
      <c r="B839" s="1027"/>
      <c r="C839" s="1027"/>
      <c r="D839" s="1028"/>
      <c r="E839" s="669"/>
      <c r="F839" s="1029"/>
      <c r="G839" s="662"/>
      <c r="H839" s="605"/>
      <c r="I839" s="101"/>
      <c r="J839" s="101"/>
      <c r="K839" s="959"/>
      <c r="L839" s="1369" t="s">
        <v>869</v>
      </c>
      <c r="M839" s="1370"/>
      <c r="N839" s="1370"/>
      <c r="O839" s="1366"/>
      <c r="P839" s="1366"/>
      <c r="Q839" s="1366"/>
      <c r="R839" s="913" t="s">
        <v>733</v>
      </c>
      <c r="S839" s="989">
        <v>1</v>
      </c>
      <c r="T839" s="916" t="s">
        <v>615</v>
      </c>
      <c r="U839" s="988">
        <f t="shared" si="53"/>
        <v>0</v>
      </c>
      <c r="AE839" s="1054"/>
    </row>
    <row r="840" spans="1:31" ht="21" hidden="1" customHeight="1" x14ac:dyDescent="0.15">
      <c r="A840" s="1026"/>
      <c r="B840" s="1027"/>
      <c r="C840" s="1027"/>
      <c r="D840" s="1028"/>
      <c r="E840" s="669"/>
      <c r="F840" s="1029"/>
      <c r="G840" s="662"/>
      <c r="H840" s="605"/>
      <c r="I840" s="101"/>
      <c r="J840" s="101"/>
      <c r="K840" s="959"/>
      <c r="L840" s="1369" t="s">
        <v>870</v>
      </c>
      <c r="M840" s="1370"/>
      <c r="N840" s="1370"/>
      <c r="O840" s="1366"/>
      <c r="P840" s="1366"/>
      <c r="Q840" s="1366"/>
      <c r="R840" s="913" t="s">
        <v>733</v>
      </c>
      <c r="S840" s="989">
        <v>1</v>
      </c>
      <c r="T840" s="916" t="s">
        <v>615</v>
      </c>
      <c r="U840" s="988">
        <f t="shared" si="53"/>
        <v>0</v>
      </c>
      <c r="AE840" s="1054"/>
    </row>
    <row r="841" spans="1:31" ht="21" hidden="1" customHeight="1" x14ac:dyDescent="0.15">
      <c r="A841" s="1026"/>
      <c r="B841" s="1027"/>
      <c r="C841" s="1027"/>
      <c r="D841" s="1028"/>
      <c r="E841" s="669"/>
      <c r="F841" s="1029"/>
      <c r="G841" s="662"/>
      <c r="H841" s="605"/>
      <c r="I841" s="101"/>
      <c r="J841" s="101"/>
      <c r="K841" s="959"/>
      <c r="L841" s="1369" t="s">
        <v>871</v>
      </c>
      <c r="M841" s="1370"/>
      <c r="N841" s="1370"/>
      <c r="O841" s="1366"/>
      <c r="P841" s="1366"/>
      <c r="Q841" s="1366"/>
      <c r="R841" s="913" t="s">
        <v>733</v>
      </c>
      <c r="S841" s="989">
        <v>1</v>
      </c>
      <c r="T841" s="916" t="s">
        <v>615</v>
      </c>
      <c r="U841" s="988">
        <f t="shared" si="53"/>
        <v>0</v>
      </c>
      <c r="AE841" s="1054"/>
    </row>
    <row r="842" spans="1:31" ht="21" hidden="1" customHeight="1" x14ac:dyDescent="0.15">
      <c r="A842" s="1026"/>
      <c r="B842" s="1027"/>
      <c r="C842" s="1027"/>
      <c r="D842" s="1028"/>
      <c r="E842" s="669"/>
      <c r="F842" s="1029"/>
      <c r="G842" s="662"/>
      <c r="H842" s="666"/>
      <c r="I842" s="661"/>
      <c r="J842" s="661"/>
      <c r="K842" s="1030"/>
      <c r="L842" s="1369" t="s">
        <v>872</v>
      </c>
      <c r="M842" s="1370"/>
      <c r="N842" s="1370"/>
      <c r="O842" s="1366"/>
      <c r="P842" s="1366"/>
      <c r="Q842" s="1366"/>
      <c r="R842" s="913" t="s">
        <v>733</v>
      </c>
      <c r="S842" s="989">
        <v>1</v>
      </c>
      <c r="T842" s="916" t="s">
        <v>615</v>
      </c>
      <c r="U842" s="988">
        <f t="shared" si="53"/>
        <v>0</v>
      </c>
      <c r="AE842" s="1054"/>
    </row>
    <row r="843" spans="1:31" ht="21" hidden="1" customHeight="1" x14ac:dyDescent="0.15">
      <c r="A843" s="1026"/>
      <c r="B843" s="1027"/>
      <c r="C843" s="1027"/>
      <c r="D843" s="1028"/>
      <c r="E843" s="669"/>
      <c r="F843" s="1029"/>
      <c r="G843" s="662"/>
      <c r="H843" s="666"/>
      <c r="I843" s="661"/>
      <c r="J843" s="661"/>
      <c r="K843" s="1030"/>
      <c r="L843" s="1369" t="s">
        <v>873</v>
      </c>
      <c r="M843" s="1370"/>
      <c r="N843" s="1370"/>
      <c r="O843" s="1366"/>
      <c r="P843" s="1366"/>
      <c r="Q843" s="1366"/>
      <c r="R843" s="913" t="s">
        <v>733</v>
      </c>
      <c r="S843" s="989">
        <v>1</v>
      </c>
      <c r="T843" s="916" t="s">
        <v>615</v>
      </c>
      <c r="U843" s="988">
        <f t="shared" si="53"/>
        <v>0</v>
      </c>
      <c r="AE843" s="1054"/>
    </row>
    <row r="844" spans="1:31" ht="21" hidden="1" customHeight="1" x14ac:dyDescent="0.15">
      <c r="A844" s="1026"/>
      <c r="B844" s="1027"/>
      <c r="C844" s="1027"/>
      <c r="D844" s="1028"/>
      <c r="E844" s="669"/>
      <c r="F844" s="1029"/>
      <c r="G844" s="662"/>
      <c r="H844" s="666"/>
      <c r="I844" s="661"/>
      <c r="J844" s="661"/>
      <c r="K844" s="1030"/>
      <c r="L844" s="1369" t="s">
        <v>874</v>
      </c>
      <c r="M844" s="1370"/>
      <c r="N844" s="1370"/>
      <c r="O844" s="1366"/>
      <c r="P844" s="1366"/>
      <c r="Q844" s="1366"/>
      <c r="R844" s="913" t="s">
        <v>733</v>
      </c>
      <c r="S844" s="989">
        <v>1</v>
      </c>
      <c r="T844" s="916" t="s">
        <v>615</v>
      </c>
      <c r="U844" s="988">
        <f t="shared" si="53"/>
        <v>0</v>
      </c>
      <c r="AE844" s="1054"/>
    </row>
    <row r="845" spans="1:31" ht="21" hidden="1" customHeight="1" x14ac:dyDescent="0.15">
      <c r="A845" s="1100"/>
      <c r="B845" s="1101"/>
      <c r="C845" s="1101"/>
      <c r="D845" s="1102"/>
      <c r="E845" s="1103"/>
      <c r="F845" s="1104"/>
      <c r="G845" s="1105"/>
      <c r="H845" s="1106"/>
      <c r="I845" s="1107"/>
      <c r="J845" s="1107"/>
      <c r="K845" s="1108"/>
      <c r="L845" s="1369" t="s">
        <v>975</v>
      </c>
      <c r="M845" s="1370"/>
      <c r="N845" s="1370"/>
      <c r="O845" s="1366"/>
      <c r="P845" s="1366"/>
      <c r="Q845" s="1366"/>
      <c r="R845" s="913" t="s">
        <v>733</v>
      </c>
      <c r="S845" s="989">
        <v>1</v>
      </c>
      <c r="T845" s="916" t="s">
        <v>615</v>
      </c>
      <c r="U845" s="988">
        <f t="shared" ref="U845" si="54">O845*S845</f>
        <v>0</v>
      </c>
      <c r="AE845" s="1054"/>
    </row>
    <row r="846" spans="1:31" ht="21" hidden="1" customHeight="1" x14ac:dyDescent="0.15">
      <c r="A846" s="1031"/>
      <c r="B846" s="1032"/>
      <c r="C846" s="1032"/>
      <c r="D846" s="1033"/>
      <c r="E846" s="1034"/>
      <c r="F846" s="1035"/>
      <c r="G846" s="1037"/>
      <c r="H846" s="1038"/>
      <c r="I846" s="801"/>
      <c r="J846" s="801"/>
      <c r="K846" s="1036"/>
      <c r="L846" s="1403"/>
      <c r="M846" s="1404"/>
      <c r="N846" s="1404"/>
      <c r="O846" s="1405"/>
      <c r="P846" s="1405"/>
      <c r="Q846" s="1405"/>
      <c r="R846" s="1020" t="s">
        <v>733</v>
      </c>
      <c r="S846" s="1021">
        <v>1</v>
      </c>
      <c r="T846" s="1022" t="s">
        <v>615</v>
      </c>
      <c r="U846" s="1052">
        <f t="shared" si="53"/>
        <v>0</v>
      </c>
      <c r="AE846" s="1054"/>
    </row>
  </sheetData>
  <mergeCells count="321">
    <mergeCell ref="L840:N840"/>
    <mergeCell ref="O840:Q840"/>
    <mergeCell ref="L829:N829"/>
    <mergeCell ref="O829:Q829"/>
    <mergeCell ref="L836:N836"/>
    <mergeCell ref="L837:N837"/>
    <mergeCell ref="O836:Q836"/>
    <mergeCell ref="O837:Q837"/>
    <mergeCell ref="L823:N823"/>
    <mergeCell ref="O823:Q823"/>
    <mergeCell ref="L825:N825"/>
    <mergeCell ref="O825:Q825"/>
    <mergeCell ref="L826:N826"/>
    <mergeCell ref="O826:Q826"/>
    <mergeCell ref="L834:N834"/>
    <mergeCell ref="O834:Q834"/>
    <mergeCell ref="L835:N835"/>
    <mergeCell ref="O835:Q835"/>
    <mergeCell ref="L846:N846"/>
    <mergeCell ref="O846:Q846"/>
    <mergeCell ref="L841:N841"/>
    <mergeCell ref="O841:Q841"/>
    <mergeCell ref="L842:N842"/>
    <mergeCell ref="O842:Q842"/>
    <mergeCell ref="L843:N843"/>
    <mergeCell ref="O843:Q843"/>
    <mergeCell ref="L844:N844"/>
    <mergeCell ref="O844:Q844"/>
    <mergeCell ref="L845:N845"/>
    <mergeCell ref="O845:Q845"/>
    <mergeCell ref="M671:N671"/>
    <mergeCell ref="O671:Q671"/>
    <mergeCell ref="L723:N723"/>
    <mergeCell ref="O723:Q723"/>
    <mergeCell ref="L765:N765"/>
    <mergeCell ref="O765:Q765"/>
    <mergeCell ref="L838:N838"/>
    <mergeCell ref="O838:Q838"/>
    <mergeCell ref="L839:N839"/>
    <mergeCell ref="O839:Q839"/>
    <mergeCell ref="L830:N830"/>
    <mergeCell ref="O830:Q830"/>
    <mergeCell ref="L824:N824"/>
    <mergeCell ref="O824:Q824"/>
    <mergeCell ref="M675:N675"/>
    <mergeCell ref="O675:Q675"/>
    <mergeCell ref="M676:N676"/>
    <mergeCell ref="O676:Q676"/>
    <mergeCell ref="L679:N679"/>
    <mergeCell ref="O679:Q679"/>
    <mergeCell ref="M672:N672"/>
    <mergeCell ref="O672:Q672"/>
    <mergeCell ref="M673:N673"/>
    <mergeCell ref="O673:Q673"/>
    <mergeCell ref="M674:N674"/>
    <mergeCell ref="O674:Q674"/>
    <mergeCell ref="M319:T319"/>
    <mergeCell ref="M580:T580"/>
    <mergeCell ref="O646:Q646"/>
    <mergeCell ref="O663:Q663"/>
    <mergeCell ref="O664:Q664"/>
    <mergeCell ref="O658:Q658"/>
    <mergeCell ref="O659:Q659"/>
    <mergeCell ref="O660:Q660"/>
    <mergeCell ref="O647:Q647"/>
    <mergeCell ref="O648:Q648"/>
    <mergeCell ref="O650:Q650"/>
    <mergeCell ref="O651:Q651"/>
    <mergeCell ref="O652:Q652"/>
    <mergeCell ref="M451:T451"/>
    <mergeCell ref="O661:Q661"/>
    <mergeCell ref="O662:Q662"/>
    <mergeCell ref="O653:Q653"/>
    <mergeCell ref="O654:Q654"/>
    <mergeCell ref="O655:Q655"/>
    <mergeCell ref="O656:Q656"/>
    <mergeCell ref="O657:Q657"/>
    <mergeCell ref="A2:U2"/>
    <mergeCell ref="A5:C5"/>
    <mergeCell ref="D5:D6"/>
    <mergeCell ref="E5:E6"/>
    <mergeCell ref="F5:F6"/>
    <mergeCell ref="G5:G6"/>
    <mergeCell ref="L5:U6"/>
    <mergeCell ref="H5:K5"/>
    <mergeCell ref="A7:C7"/>
    <mergeCell ref="M666:N666"/>
    <mergeCell ref="O666:Q666"/>
    <mergeCell ref="M667:N667"/>
    <mergeCell ref="O667:Q667"/>
    <mergeCell ref="M668:N668"/>
    <mergeCell ref="M669:N669"/>
    <mergeCell ref="O669:Q669"/>
    <mergeCell ref="M670:N670"/>
    <mergeCell ref="O670:Q670"/>
    <mergeCell ref="O668:Q668"/>
    <mergeCell ref="L686:N686"/>
    <mergeCell ref="O686:Q686"/>
    <mergeCell ref="L687:N687"/>
    <mergeCell ref="O687:Q687"/>
    <mergeCell ref="L688:N688"/>
    <mergeCell ref="O688:Q688"/>
    <mergeCell ref="L681:N681"/>
    <mergeCell ref="O681:Q681"/>
    <mergeCell ref="L680:N680"/>
    <mergeCell ref="O680:Q680"/>
    <mergeCell ref="L684:N684"/>
    <mergeCell ref="O684:Q684"/>
    <mergeCell ref="L692:N692"/>
    <mergeCell ref="O692:Q692"/>
    <mergeCell ref="L693:N693"/>
    <mergeCell ref="O693:Q693"/>
    <mergeCell ref="L694:N694"/>
    <mergeCell ref="O694:Q694"/>
    <mergeCell ref="L689:N689"/>
    <mergeCell ref="O689:Q689"/>
    <mergeCell ref="L690:N690"/>
    <mergeCell ref="O690:Q690"/>
    <mergeCell ref="L691:N691"/>
    <mergeCell ref="O691:Q691"/>
    <mergeCell ref="L698:N698"/>
    <mergeCell ref="O698:Q698"/>
    <mergeCell ref="L699:N699"/>
    <mergeCell ref="O699:Q699"/>
    <mergeCell ref="L700:N700"/>
    <mergeCell ref="O700:Q700"/>
    <mergeCell ref="L695:N695"/>
    <mergeCell ref="O695:Q695"/>
    <mergeCell ref="L696:N696"/>
    <mergeCell ref="O696:Q696"/>
    <mergeCell ref="L697:N697"/>
    <mergeCell ref="O697:Q697"/>
    <mergeCell ref="L705:N705"/>
    <mergeCell ref="O705:Q705"/>
    <mergeCell ref="L706:N706"/>
    <mergeCell ref="O706:Q706"/>
    <mergeCell ref="L707:N707"/>
    <mergeCell ref="O707:Q707"/>
    <mergeCell ref="L701:N701"/>
    <mergeCell ref="O701:Q701"/>
    <mergeCell ref="L703:N703"/>
    <mergeCell ref="O703:Q703"/>
    <mergeCell ref="L704:N704"/>
    <mergeCell ref="O704:Q704"/>
    <mergeCell ref="L712:N712"/>
    <mergeCell ref="O712:Q712"/>
    <mergeCell ref="L713:N713"/>
    <mergeCell ref="O713:Q713"/>
    <mergeCell ref="L714:N714"/>
    <mergeCell ref="O714:Q714"/>
    <mergeCell ref="L708:N708"/>
    <mergeCell ref="O708:Q708"/>
    <mergeCell ref="L710:N710"/>
    <mergeCell ref="O710:Q710"/>
    <mergeCell ref="L711:N711"/>
    <mergeCell ref="O711:Q711"/>
    <mergeCell ref="L719:N719"/>
    <mergeCell ref="O719:Q719"/>
    <mergeCell ref="L718:N718"/>
    <mergeCell ref="O718:Q718"/>
    <mergeCell ref="L721:N721"/>
    <mergeCell ref="O721:Q721"/>
    <mergeCell ref="L715:N715"/>
    <mergeCell ref="O715:Q715"/>
    <mergeCell ref="L716:N716"/>
    <mergeCell ref="O716:Q716"/>
    <mergeCell ref="L736:N736"/>
    <mergeCell ref="O736:Q736"/>
    <mergeCell ref="L738:N738"/>
    <mergeCell ref="O738:Q738"/>
    <mergeCell ref="L735:N735"/>
    <mergeCell ref="O735:Q735"/>
    <mergeCell ref="L722:N722"/>
    <mergeCell ref="O722:Q722"/>
    <mergeCell ref="L724:N724"/>
    <mergeCell ref="O724:Q724"/>
    <mergeCell ref="L737:N737"/>
    <mergeCell ref="O737:Q737"/>
    <mergeCell ref="L728:N728"/>
    <mergeCell ref="O728:Q728"/>
    <mergeCell ref="L729:N729"/>
    <mergeCell ref="O729:Q729"/>
    <mergeCell ref="L730:N730"/>
    <mergeCell ref="O730:Q730"/>
    <mergeCell ref="L731:N731"/>
    <mergeCell ref="O731:Q731"/>
    <mergeCell ref="L732:N732"/>
    <mergeCell ref="O732:Q732"/>
    <mergeCell ref="L733:N733"/>
    <mergeCell ref="O733:Q733"/>
    <mergeCell ref="L750:N750"/>
    <mergeCell ref="O750:Q750"/>
    <mergeCell ref="L746:N746"/>
    <mergeCell ref="O746:Q746"/>
    <mergeCell ref="L747:N747"/>
    <mergeCell ref="O747:Q747"/>
    <mergeCell ref="L748:N748"/>
    <mergeCell ref="O748:Q748"/>
    <mergeCell ref="L739:N739"/>
    <mergeCell ref="O739:Q739"/>
    <mergeCell ref="L749:N749"/>
    <mergeCell ref="O749:Q749"/>
    <mergeCell ref="L740:N740"/>
    <mergeCell ref="O740:Q740"/>
    <mergeCell ref="L742:N742"/>
    <mergeCell ref="O742:Q742"/>
    <mergeCell ref="L743:N743"/>
    <mergeCell ref="O743:Q743"/>
    <mergeCell ref="L744:N744"/>
    <mergeCell ref="O744:Q744"/>
    <mergeCell ref="L745:N745"/>
    <mergeCell ref="O745:Q745"/>
    <mergeCell ref="L754:N754"/>
    <mergeCell ref="O754:Q754"/>
    <mergeCell ref="L755:N755"/>
    <mergeCell ref="O755:Q755"/>
    <mergeCell ref="L751:N751"/>
    <mergeCell ref="O751:Q751"/>
    <mergeCell ref="L752:N752"/>
    <mergeCell ref="O752:Q752"/>
    <mergeCell ref="L753:N753"/>
    <mergeCell ref="O753:Q753"/>
    <mergeCell ref="L762:N762"/>
    <mergeCell ref="O762:Q762"/>
    <mergeCell ref="L763:N763"/>
    <mergeCell ref="O763:Q763"/>
    <mergeCell ref="L764:N764"/>
    <mergeCell ref="O764:Q764"/>
    <mergeCell ref="L756:N756"/>
    <mergeCell ref="O756:Q756"/>
    <mergeCell ref="L760:N760"/>
    <mergeCell ref="O760:Q760"/>
    <mergeCell ref="L761:N761"/>
    <mergeCell ref="O761:Q761"/>
    <mergeCell ref="L770:N770"/>
    <mergeCell ref="O770:Q770"/>
    <mergeCell ref="L772:N772"/>
    <mergeCell ref="O772:Q772"/>
    <mergeCell ref="L767:N767"/>
    <mergeCell ref="O767:Q767"/>
    <mergeCell ref="L768:N768"/>
    <mergeCell ref="O768:Q768"/>
    <mergeCell ref="L769:N769"/>
    <mergeCell ref="O769:Q769"/>
    <mergeCell ref="L777:M777"/>
    <mergeCell ref="L778:N778"/>
    <mergeCell ref="O778:Q778"/>
    <mergeCell ref="L779:N779"/>
    <mergeCell ref="O779:Q779"/>
    <mergeCell ref="L810:M810"/>
    <mergeCell ref="L806:M806"/>
    <mergeCell ref="L803:M803"/>
    <mergeCell ref="L797:M797"/>
    <mergeCell ref="L795:M795"/>
    <mergeCell ref="L799:N799"/>
    <mergeCell ref="L802:N802"/>
    <mergeCell ref="L807:N807"/>
    <mergeCell ref="L783:N783"/>
    <mergeCell ref="O783:Q783"/>
    <mergeCell ref="L784:N784"/>
    <mergeCell ref="O784:Q784"/>
    <mergeCell ref="L785:N785"/>
    <mergeCell ref="O785:Q785"/>
    <mergeCell ref="L780:N780"/>
    <mergeCell ref="O780:Q780"/>
    <mergeCell ref="L781:N781"/>
    <mergeCell ref="O781:Q781"/>
    <mergeCell ref="L782:N782"/>
    <mergeCell ref="O793:Q793"/>
    <mergeCell ref="O782:Q782"/>
    <mergeCell ref="L789:N789"/>
    <mergeCell ref="O789:Q789"/>
    <mergeCell ref="L790:N790"/>
    <mergeCell ref="O790:Q790"/>
    <mergeCell ref="L786:N786"/>
    <mergeCell ref="O786:Q786"/>
    <mergeCell ref="L787:N787"/>
    <mergeCell ref="O787:Q787"/>
    <mergeCell ref="L788:N788"/>
    <mergeCell ref="O788:Q788"/>
    <mergeCell ref="L811:N811"/>
    <mergeCell ref="O811:Q811"/>
    <mergeCell ref="L819:N819"/>
    <mergeCell ref="O819:Q819"/>
    <mergeCell ref="O807:Q807"/>
    <mergeCell ref="L808:N808"/>
    <mergeCell ref="O808:Q808"/>
    <mergeCell ref="L809:N809"/>
    <mergeCell ref="O809:Q809"/>
    <mergeCell ref="L812:N812"/>
    <mergeCell ref="O812:Q812"/>
    <mergeCell ref="L815:M815"/>
    <mergeCell ref="L816:N816"/>
    <mergeCell ref="O816:Q816"/>
    <mergeCell ref="L813:M813"/>
    <mergeCell ref="L814:N814"/>
    <mergeCell ref="O814:Q814"/>
    <mergeCell ref="O775:Q775"/>
    <mergeCell ref="L774:N774"/>
    <mergeCell ref="O774:Q774"/>
    <mergeCell ref="O802:Q802"/>
    <mergeCell ref="L804:N804"/>
    <mergeCell ref="O804:Q804"/>
    <mergeCell ref="L805:N805"/>
    <mergeCell ref="O805:Q805"/>
    <mergeCell ref="O799:Q799"/>
    <mergeCell ref="L800:N800"/>
    <mergeCell ref="O800:Q800"/>
    <mergeCell ref="L801:N801"/>
    <mergeCell ref="O801:Q801"/>
    <mergeCell ref="L794:N794"/>
    <mergeCell ref="O794:Q794"/>
    <mergeCell ref="L796:N796"/>
    <mergeCell ref="O796:Q796"/>
    <mergeCell ref="L798:N798"/>
    <mergeCell ref="O798:Q798"/>
    <mergeCell ref="L791:N791"/>
    <mergeCell ref="O791:Q791"/>
    <mergeCell ref="L792:N792"/>
    <mergeCell ref="O792:Q792"/>
    <mergeCell ref="L793:N793"/>
  </mergeCells>
  <phoneticPr fontId="5" type="noConversion"/>
  <printOptions horizontalCentered="1"/>
  <pageMargins left="0.62992125984251968" right="0.35433070866141736" top="0.5" bottom="0.39370078740157483" header="0.41" footer="0.35433070866141736"/>
  <pageSetup paperSize="9" scale="56" fitToHeight="0" orientation="landscape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Normal="100" workbookViewId="0">
      <selection activeCell="G21" sqref="G21"/>
    </sheetView>
  </sheetViews>
  <sheetFormatPr defaultRowHeight="13.5" x14ac:dyDescent="0.15"/>
  <cols>
    <col min="1" max="1" width="14.25" style="691" customWidth="1"/>
    <col min="2" max="2" width="18.75" style="772" customWidth="1"/>
    <col min="3" max="3" width="18.75" style="691" customWidth="1"/>
    <col min="4" max="4" width="20.625" style="691" customWidth="1"/>
    <col min="5" max="5" width="18.75" style="691" customWidth="1"/>
    <col min="6" max="6" width="13.75" style="691" hidden="1" customWidth="1"/>
    <col min="7" max="7" width="15.25" style="691" customWidth="1"/>
    <col min="8" max="16384" width="9" style="691"/>
  </cols>
  <sheetData>
    <row r="1" spans="1:7" ht="52.5" customHeight="1" x14ac:dyDescent="0.15">
      <c r="A1" s="1410" t="s">
        <v>616</v>
      </c>
      <c r="B1" s="1411"/>
      <c r="C1" s="1411"/>
      <c r="D1" s="1411"/>
      <c r="E1" s="1411"/>
    </row>
    <row r="2" spans="1:7" ht="25.5" customHeight="1" thickBot="1" x14ac:dyDescent="0.2">
      <c r="A2" s="771"/>
      <c r="E2" s="773" t="s">
        <v>244</v>
      </c>
    </row>
    <row r="3" spans="1:7" ht="24.75" customHeight="1" thickBot="1" x14ac:dyDescent="0.2">
      <c r="A3" s="802" t="s">
        <v>617</v>
      </c>
      <c r="B3" s="1412" t="s">
        <v>618</v>
      </c>
      <c r="C3" s="1413"/>
      <c r="D3" s="1412" t="s">
        <v>619</v>
      </c>
      <c r="E3" s="1414"/>
    </row>
    <row r="4" spans="1:7" ht="24.75" customHeight="1" x14ac:dyDescent="0.15">
      <c r="A4" s="802" t="s">
        <v>620</v>
      </c>
      <c r="B4" s="1415">
        <f>C5+C14+C20+C27</f>
        <v>4265740000</v>
      </c>
      <c r="C4" s="1416"/>
      <c r="D4" s="1415">
        <f>E5+E14+E20+E27</f>
        <v>4265740000</v>
      </c>
      <c r="E4" s="1417"/>
      <c r="F4" s="774"/>
    </row>
    <row r="5" spans="1:7" ht="20.25" customHeight="1" x14ac:dyDescent="0.15">
      <c r="A5" s="1406" t="s">
        <v>621</v>
      </c>
      <c r="B5" s="775" t="s">
        <v>258</v>
      </c>
      <c r="C5" s="776">
        <f>SUM(C6:C13)</f>
        <v>3685700000</v>
      </c>
      <c r="D5" s="777" t="s">
        <v>258</v>
      </c>
      <c r="E5" s="778">
        <f>SUM(E6:E13)</f>
        <v>3685700000</v>
      </c>
      <c r="F5" s="774">
        <f>C5-E5</f>
        <v>0</v>
      </c>
      <c r="G5" s="774"/>
    </row>
    <row r="6" spans="1:7" ht="20.25" customHeight="1" x14ac:dyDescent="0.15">
      <c r="A6" s="1407"/>
      <c r="B6" s="779" t="str">
        <f>'다. 세입내역서'!B17</f>
        <v>보조금수입</v>
      </c>
      <c r="C6" s="780">
        <f>'다. 세입내역서'!E17</f>
        <v>3635150270</v>
      </c>
      <c r="D6" s="781" t="s">
        <v>259</v>
      </c>
      <c r="E6" s="782">
        <f>'라. 세출내역서'!H9</f>
        <v>3275268590</v>
      </c>
      <c r="G6" s="774"/>
    </row>
    <row r="7" spans="1:7" ht="20.25" customHeight="1" x14ac:dyDescent="0.15">
      <c r="A7" s="1407"/>
      <c r="B7" s="783" t="s">
        <v>145</v>
      </c>
      <c r="C7" s="780">
        <f>'다. 세입내역서'!E42</f>
        <v>50000000</v>
      </c>
      <c r="D7" s="781" t="s">
        <v>644</v>
      </c>
      <c r="E7" s="782">
        <f>'라. 세출내역서'!H677</f>
        <v>0</v>
      </c>
      <c r="G7" s="774"/>
    </row>
    <row r="8" spans="1:7" ht="20.25" customHeight="1" x14ac:dyDescent="0.15">
      <c r="A8" s="1407"/>
      <c r="B8" s="783" t="s">
        <v>146</v>
      </c>
      <c r="C8" s="780">
        <f>'라. 세출내역서'!E829</f>
        <v>549730</v>
      </c>
      <c r="D8" s="781" t="s">
        <v>645</v>
      </c>
      <c r="E8" s="782">
        <f>'라. 세출내역서'!H682</f>
        <v>80943500</v>
      </c>
      <c r="G8" s="774"/>
    </row>
    <row r="9" spans="1:7" ht="20.25" customHeight="1" x14ac:dyDescent="0.15">
      <c r="A9" s="1407"/>
      <c r="B9" s="783"/>
      <c r="C9" s="780"/>
      <c r="D9" s="784" t="s">
        <v>280</v>
      </c>
      <c r="E9" s="782">
        <f>'라. 세출내역서'!H726</f>
        <v>14256500</v>
      </c>
    </row>
    <row r="10" spans="1:7" ht="20.25" customHeight="1" x14ac:dyDescent="0.15">
      <c r="A10" s="1407"/>
      <c r="B10" s="783"/>
      <c r="C10" s="780"/>
      <c r="D10" s="784" t="s">
        <v>646</v>
      </c>
      <c r="E10" s="782">
        <f>'라. 세출내역서'!H758</f>
        <v>215141680</v>
      </c>
    </row>
    <row r="11" spans="1:7" ht="20.25" customHeight="1" x14ac:dyDescent="0.15">
      <c r="A11" s="1407"/>
      <c r="B11" s="783"/>
      <c r="C11" s="780"/>
      <c r="D11" s="784" t="s">
        <v>283</v>
      </c>
      <c r="E11" s="782">
        <f>'라. 세출내역서'!H776</f>
        <v>49540000</v>
      </c>
    </row>
    <row r="12" spans="1:7" ht="20.25" customHeight="1" x14ac:dyDescent="0.15">
      <c r="A12" s="1407"/>
      <c r="B12" s="783"/>
      <c r="C12" s="780"/>
      <c r="D12" s="785" t="s">
        <v>306</v>
      </c>
      <c r="E12" s="782">
        <f>'라. 세출내역서'!H828</f>
        <v>549730</v>
      </c>
    </row>
    <row r="13" spans="1:7" ht="20.25" customHeight="1" x14ac:dyDescent="0.15">
      <c r="A13" s="1408"/>
      <c r="B13" s="786" t="s">
        <v>622</v>
      </c>
      <c r="C13" s="787">
        <v>0</v>
      </c>
      <c r="D13" s="788" t="s">
        <v>485</v>
      </c>
      <c r="E13" s="789">
        <f>'라. 세출내역서'!H832</f>
        <v>50000000</v>
      </c>
    </row>
    <row r="14" spans="1:7" ht="20.25" customHeight="1" x14ac:dyDescent="0.15">
      <c r="A14" s="1406" t="s">
        <v>294</v>
      </c>
      <c r="B14" s="775" t="s">
        <v>258</v>
      </c>
      <c r="C14" s="776">
        <f>SUM(C15:C19)</f>
        <v>41120000</v>
      </c>
      <c r="D14" s="777" t="s">
        <v>258</v>
      </c>
      <c r="E14" s="778">
        <f>SUM(E15:E19)</f>
        <v>41120000</v>
      </c>
      <c r="F14" s="774">
        <f>C14-E14</f>
        <v>0</v>
      </c>
      <c r="G14" s="1116"/>
    </row>
    <row r="15" spans="1:7" ht="20.25" customHeight="1" x14ac:dyDescent="0.15">
      <c r="A15" s="1407"/>
      <c r="B15" s="779" t="s">
        <v>294</v>
      </c>
      <c r="C15" s="790">
        <f>'다. 세입내역서'!E38</f>
        <v>40000000</v>
      </c>
      <c r="D15" s="781" t="s">
        <v>259</v>
      </c>
      <c r="E15" s="782">
        <f>'라. 세출내역서'!I9</f>
        <v>28058450</v>
      </c>
    </row>
    <row r="16" spans="1:7" ht="20.25" customHeight="1" x14ac:dyDescent="0.15">
      <c r="A16" s="1407"/>
      <c r="B16" s="779" t="s">
        <v>145</v>
      </c>
      <c r="C16" s="790">
        <f>'다. 세입내역서'!E43</f>
        <v>1120000</v>
      </c>
      <c r="D16" s="781" t="s">
        <v>644</v>
      </c>
      <c r="E16" s="782">
        <f>'라. 세출내역서'!I677</f>
        <v>200000</v>
      </c>
    </row>
    <row r="17" spans="1:7" ht="20.25" customHeight="1" x14ac:dyDescent="0.15">
      <c r="A17" s="1407"/>
      <c r="B17" s="783" t="s">
        <v>647</v>
      </c>
      <c r="C17" s="780">
        <f>'[1]다-2.자부담세입'!E17</f>
        <v>0</v>
      </c>
      <c r="D17" s="784" t="str">
        <f>D8</f>
        <v>사무비운영비</v>
      </c>
      <c r="E17" s="782">
        <f>'라. 세출내역서'!I682</f>
        <v>4861550</v>
      </c>
    </row>
    <row r="18" spans="1:7" ht="20.25" customHeight="1" x14ac:dyDescent="0.15">
      <c r="A18" s="1407"/>
      <c r="B18" s="783" t="s">
        <v>647</v>
      </c>
      <c r="C18" s="780">
        <f>'[1]다-2.자부담세입'!E20</f>
        <v>0</v>
      </c>
      <c r="D18" s="784" t="str">
        <f>'라. 세출내역서'!A725</f>
        <v>재산조성비</v>
      </c>
      <c r="E18" s="782">
        <f>'라. 세출내역서'!I726</f>
        <v>0</v>
      </c>
    </row>
    <row r="19" spans="1:7" ht="20.25" customHeight="1" x14ac:dyDescent="0.15">
      <c r="A19" s="1408"/>
      <c r="B19" s="783" t="s">
        <v>647</v>
      </c>
      <c r="C19" s="780"/>
      <c r="D19" s="784" t="str">
        <f>D11</f>
        <v>사업비</v>
      </c>
      <c r="E19" s="782">
        <f>'라. 세출내역서'!I757</f>
        <v>8000000</v>
      </c>
    </row>
    <row r="20" spans="1:7" ht="20.25" customHeight="1" x14ac:dyDescent="0.15">
      <c r="A20" s="1406" t="s">
        <v>623</v>
      </c>
      <c r="B20" s="775" t="s">
        <v>258</v>
      </c>
      <c r="C20" s="776">
        <f>SUM(C21:C25)</f>
        <v>154450000</v>
      </c>
      <c r="D20" s="777" t="s">
        <v>258</v>
      </c>
      <c r="E20" s="778">
        <f>SUM(E21:E26)</f>
        <v>154450000</v>
      </c>
      <c r="F20" s="774">
        <f>C20-E20</f>
        <v>0</v>
      </c>
      <c r="G20" s="1116"/>
    </row>
    <row r="21" spans="1:7" ht="20.25" customHeight="1" x14ac:dyDescent="0.15">
      <c r="A21" s="1407"/>
      <c r="B21" s="779" t="s">
        <v>624</v>
      </c>
      <c r="C21" s="790">
        <f>자부담세출!U2</f>
        <v>84000000</v>
      </c>
      <c r="D21" s="781" t="s">
        <v>259</v>
      </c>
      <c r="E21" s="782">
        <f>'라. 세출내역서'!J9</f>
        <v>5346035</v>
      </c>
    </row>
    <row r="22" spans="1:7" ht="20.25" customHeight="1" x14ac:dyDescent="0.15">
      <c r="A22" s="1407"/>
      <c r="B22" s="779" t="s">
        <v>101</v>
      </c>
      <c r="C22" s="790">
        <f>'다. 세입내역서'!E44</f>
        <v>21700000</v>
      </c>
      <c r="D22" s="792" t="str">
        <f>D16</f>
        <v>업무추진비</v>
      </c>
      <c r="E22" s="782">
        <f>'라. 세출내역서'!J677</f>
        <v>800000</v>
      </c>
    </row>
    <row r="23" spans="1:7" ht="20.25" customHeight="1" x14ac:dyDescent="0.15">
      <c r="A23" s="1407"/>
      <c r="B23" s="783" t="s">
        <v>103</v>
      </c>
      <c r="C23" s="780">
        <f>'다. 세입내역서'!E49+'다. 세입내역서'!E51+'다. 세입내역서'!D55</f>
        <v>48750000</v>
      </c>
      <c r="D23" s="784" t="str">
        <f>D17</f>
        <v>사무비운영비</v>
      </c>
      <c r="E23" s="782">
        <f>'라. 세출내역서'!J682</f>
        <v>42753965</v>
      </c>
      <c r="G23" s="774"/>
    </row>
    <row r="24" spans="1:7" ht="20.25" customHeight="1" x14ac:dyDescent="0.15">
      <c r="A24" s="1407"/>
      <c r="B24" s="783"/>
      <c r="C24" s="780"/>
      <c r="D24" s="784" t="s">
        <v>646</v>
      </c>
      <c r="E24" s="782">
        <f>'라. 세출내역서'!J758</f>
        <v>77500000</v>
      </c>
    </row>
    <row r="25" spans="1:7" ht="20.25" customHeight="1" x14ac:dyDescent="0.15">
      <c r="A25" s="1407"/>
      <c r="B25" s="783"/>
      <c r="C25" s="780"/>
      <c r="D25" s="784" t="s">
        <v>941</v>
      </c>
      <c r="E25" s="782">
        <f>'라. 세출내역서'!J776</f>
        <v>28050000</v>
      </c>
    </row>
    <row r="26" spans="1:7" ht="20.25" customHeight="1" x14ac:dyDescent="0.15">
      <c r="A26" s="1408"/>
      <c r="B26" s="810"/>
      <c r="C26" s="811">
        <v>0</v>
      </c>
      <c r="D26" s="788" t="s">
        <v>942</v>
      </c>
      <c r="E26" s="789">
        <f>'라. 세출내역서'!J821</f>
        <v>0</v>
      </c>
    </row>
    <row r="27" spans="1:7" ht="20.25" customHeight="1" x14ac:dyDescent="0.15">
      <c r="A27" s="1406" t="s">
        <v>625</v>
      </c>
      <c r="B27" s="775" t="s">
        <v>258</v>
      </c>
      <c r="C27" s="776">
        <f>SUM(C28:C32)</f>
        <v>384470000</v>
      </c>
      <c r="D27" s="777" t="s">
        <v>258</v>
      </c>
      <c r="E27" s="778">
        <f>SUM(E28:E35)</f>
        <v>384470000</v>
      </c>
      <c r="F27" s="774">
        <f>C27-E27</f>
        <v>0</v>
      </c>
      <c r="G27" s="1116"/>
    </row>
    <row r="28" spans="1:7" ht="20.25" customHeight="1" x14ac:dyDescent="0.15">
      <c r="A28" s="1407"/>
      <c r="B28" s="779" t="s">
        <v>285</v>
      </c>
      <c r="C28" s="790">
        <f>'다. 세입내역서'!E34</f>
        <v>353400000</v>
      </c>
      <c r="D28" s="793" t="str">
        <f>D21</f>
        <v>인건비</v>
      </c>
      <c r="E28" s="782">
        <f>'라. 세출내역서'!K9</f>
        <v>75177515</v>
      </c>
    </row>
    <row r="29" spans="1:7" ht="20.25" customHeight="1" x14ac:dyDescent="0.15">
      <c r="A29" s="1407"/>
      <c r="B29" s="783" t="s">
        <v>626</v>
      </c>
      <c r="C29" s="780">
        <f>'다. 세입내역서'!E45</f>
        <v>30970000</v>
      </c>
      <c r="D29" s="792" t="s">
        <v>649</v>
      </c>
      <c r="E29" s="782">
        <f>'라. 세출내역서'!K682</f>
        <v>136881145</v>
      </c>
    </row>
    <row r="30" spans="1:7" ht="20.25" customHeight="1" x14ac:dyDescent="0.15">
      <c r="A30" s="1407"/>
      <c r="B30" s="812" t="s">
        <v>146</v>
      </c>
      <c r="C30" s="813">
        <f>'다. 세입내역서'!D56</f>
        <v>100000</v>
      </c>
      <c r="D30" s="785" t="s">
        <v>124</v>
      </c>
      <c r="E30" s="791">
        <f>'라. 세출내역서'!K726</f>
        <v>132676878</v>
      </c>
    </row>
    <row r="31" spans="1:7" ht="20.25" customHeight="1" x14ac:dyDescent="0.15">
      <c r="A31" s="1407"/>
      <c r="B31" s="783"/>
      <c r="C31" s="780"/>
      <c r="D31" s="784" t="s">
        <v>650</v>
      </c>
      <c r="E31" s="782">
        <f>'라. 세출내역서'!K758</f>
        <v>2500000</v>
      </c>
    </row>
    <row r="32" spans="1:7" ht="20.25" customHeight="1" x14ac:dyDescent="0.15">
      <c r="A32" s="1407"/>
      <c r="B32" s="783"/>
      <c r="C32" s="780"/>
      <c r="D32" s="784" t="s">
        <v>127</v>
      </c>
      <c r="E32" s="782">
        <f>'라. 세출내역서'!K776</f>
        <v>32022362</v>
      </c>
    </row>
    <row r="33" spans="1:5" ht="20.25" customHeight="1" x14ac:dyDescent="0.15">
      <c r="A33" s="1407"/>
      <c r="B33" s="783"/>
      <c r="C33" s="780"/>
      <c r="D33" s="793" t="s">
        <v>239</v>
      </c>
      <c r="E33" s="782">
        <f>'라. 세출내역서'!K817</f>
        <v>3600000</v>
      </c>
    </row>
    <row r="34" spans="1:5" ht="20.25" customHeight="1" x14ac:dyDescent="0.15">
      <c r="A34" s="1407"/>
      <c r="B34" s="1220"/>
      <c r="C34" s="1221"/>
      <c r="D34" s="1222" t="s">
        <v>1140</v>
      </c>
      <c r="E34" s="782">
        <f>'라. 세출내역서'!K821</f>
        <v>1609200</v>
      </c>
    </row>
    <row r="35" spans="1:5" ht="20.25" customHeight="1" thickBot="1" x14ac:dyDescent="0.2">
      <c r="A35" s="1409"/>
      <c r="B35" s="794"/>
      <c r="C35" s="795"/>
      <c r="D35" s="1223" t="s">
        <v>1141</v>
      </c>
      <c r="E35" s="1224">
        <f>'라. 세출내역서'!K833</f>
        <v>2900</v>
      </c>
    </row>
    <row r="68" spans="5:5" hidden="1" x14ac:dyDescent="0.15">
      <c r="E68" s="691">
        <v>0</v>
      </c>
    </row>
    <row r="74" spans="5:5" hidden="1" x14ac:dyDescent="0.15"/>
  </sheetData>
  <mergeCells count="9">
    <mergeCell ref="A5:A13"/>
    <mergeCell ref="A14:A19"/>
    <mergeCell ref="A20:A26"/>
    <mergeCell ref="A27:A35"/>
    <mergeCell ref="A1:E1"/>
    <mergeCell ref="B3:C3"/>
    <mergeCell ref="D3:E3"/>
    <mergeCell ref="B4:C4"/>
    <mergeCell ref="D4:E4"/>
  </mergeCells>
  <phoneticPr fontId="5" type="noConversion"/>
  <pageMargins left="0.52" right="0.27" top="0.75" bottom="0.26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topLeftCell="J13" zoomScaleNormal="100" zoomScaleSheetLayoutView="120" workbookViewId="0">
      <selection activeCell="O22" sqref="O22:P22"/>
    </sheetView>
  </sheetViews>
  <sheetFormatPr defaultRowHeight="12.95" customHeight="1" x14ac:dyDescent="0.15"/>
  <cols>
    <col min="1" max="2" width="9" style="537"/>
    <col min="3" max="3" width="12.5" style="537" customWidth="1"/>
    <col min="4" max="4" width="12.625" style="102" customWidth="1"/>
    <col min="5" max="5" width="12.625" style="680" customWidth="1"/>
    <col min="6" max="6" width="10.125" style="102" customWidth="1"/>
    <col min="7" max="7" width="11.875" style="102" customWidth="1"/>
    <col min="8" max="8" width="25.375" style="102" customWidth="1"/>
    <col min="9" max="9" width="11.25" style="537" customWidth="1"/>
    <col min="10" max="10" width="8.125" style="537" customWidth="1"/>
    <col min="11" max="11" width="11.5" style="538" customWidth="1"/>
    <col min="12" max="12" width="12.625" style="102" customWidth="1"/>
    <col min="13" max="13" width="12.625" style="680" customWidth="1"/>
    <col min="14" max="14" width="10.125" style="102" customWidth="1"/>
    <col min="15" max="15" width="10.875" style="102" customWidth="1"/>
    <col min="16" max="16" width="39.75" style="102" customWidth="1"/>
    <col min="17" max="17" width="4.875" style="619" customWidth="1"/>
    <col min="18" max="19" width="8.75" style="620" customWidth="1"/>
    <col min="20" max="20" width="6.75" style="619" customWidth="1"/>
    <col min="21" max="21" width="5" style="545" customWidth="1"/>
    <col min="22" max="23" width="5.5" style="545" customWidth="1"/>
    <col min="24" max="24" width="6.375" style="545" customWidth="1"/>
    <col min="25" max="16384" width="9" style="545"/>
  </cols>
  <sheetData>
    <row r="1" spans="1:24" s="620" customFormat="1" ht="23.25" customHeight="1" x14ac:dyDescent="0.15">
      <c r="A1" s="1261" t="s">
        <v>628</v>
      </c>
      <c r="B1" s="1261"/>
      <c r="C1" s="1261"/>
      <c r="D1" s="1261"/>
      <c r="E1" s="1261"/>
      <c r="F1" s="1261"/>
      <c r="G1" s="1261"/>
      <c r="H1" s="1261"/>
      <c r="I1" s="1261"/>
      <c r="J1" s="1261"/>
      <c r="K1" s="1261"/>
      <c r="L1" s="1261"/>
      <c r="M1" s="1261"/>
      <c r="N1" s="1261"/>
      <c r="O1" s="1261"/>
      <c r="P1" s="1261"/>
      <c r="Q1" s="619"/>
      <c r="T1" s="619"/>
      <c r="U1" s="545"/>
      <c r="V1" s="545"/>
      <c r="W1" s="545"/>
      <c r="X1" s="545"/>
    </row>
    <row r="2" spans="1:24" s="620" customFormat="1" ht="18" customHeight="1" x14ac:dyDescent="0.15">
      <c r="A2" s="621"/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1262" t="s">
        <v>10</v>
      </c>
      <c r="O2" s="1262"/>
      <c r="P2" s="621"/>
      <c r="Q2" s="619"/>
      <c r="T2" s="619"/>
      <c r="U2" s="545"/>
      <c r="V2" s="545"/>
      <c r="W2" s="545"/>
      <c r="X2" s="545"/>
    </row>
    <row r="3" spans="1:24" s="620" customFormat="1" ht="22.5" customHeight="1" x14ac:dyDescent="0.15">
      <c r="A3" s="1263" t="s">
        <v>5</v>
      </c>
      <c r="B3" s="1423"/>
      <c r="C3" s="1423"/>
      <c r="D3" s="1423"/>
      <c r="E3" s="1423"/>
      <c r="F3" s="1423"/>
      <c r="G3" s="1423"/>
      <c r="H3" s="1424"/>
      <c r="I3" s="1268" t="s">
        <v>6</v>
      </c>
      <c r="J3" s="1264"/>
      <c r="K3" s="1264"/>
      <c r="L3" s="1264"/>
      <c r="M3" s="1264"/>
      <c r="N3" s="1269"/>
      <c r="O3" s="1269"/>
      <c r="P3" s="831"/>
      <c r="Q3" s="619"/>
      <c r="T3" s="619"/>
      <c r="U3" s="545"/>
      <c r="V3" s="545"/>
      <c r="W3" s="545"/>
      <c r="X3" s="545"/>
    </row>
    <row r="4" spans="1:24" s="620" customFormat="1" ht="13.5" x14ac:dyDescent="0.15">
      <c r="A4" s="1273" t="s">
        <v>0</v>
      </c>
      <c r="B4" s="1267"/>
      <c r="C4" s="1267"/>
      <c r="D4" s="1257" t="str">
        <f>'다. 세입내역서'!D4:D5</f>
        <v>전년도예산
(A)</v>
      </c>
      <c r="E4" s="1257" t="str">
        <f>'다. 세입내역서'!E4:E5</f>
        <v>2023년예산
 (B)</v>
      </c>
      <c r="F4" s="1257" t="s">
        <v>57</v>
      </c>
      <c r="G4" s="1418" t="s">
        <v>651</v>
      </c>
      <c r="H4" s="1259" t="s">
        <v>45</v>
      </c>
      <c r="I4" s="1420" t="s">
        <v>0</v>
      </c>
      <c r="J4" s="1421"/>
      <c r="K4" s="1422"/>
      <c r="L4" s="1257" t="str">
        <f>D4</f>
        <v>전년도예산
(A)</v>
      </c>
      <c r="M4" s="1257" t="str">
        <f>E4</f>
        <v>2023년예산
 (B)</v>
      </c>
      <c r="N4" s="1257" t="s">
        <v>57</v>
      </c>
      <c r="O4" s="1257" t="s">
        <v>56</v>
      </c>
      <c r="P4" s="1425" t="s">
        <v>45</v>
      </c>
      <c r="Q4" s="619"/>
      <c r="T4" s="619"/>
      <c r="U4" s="545"/>
      <c r="V4" s="545"/>
      <c r="W4" s="545"/>
      <c r="X4" s="545"/>
    </row>
    <row r="5" spans="1:24" s="620" customFormat="1" ht="14.25" thickBot="1" x14ac:dyDescent="0.2">
      <c r="A5" s="622" t="s">
        <v>1</v>
      </c>
      <c r="B5" s="623" t="s">
        <v>2</v>
      </c>
      <c r="C5" s="623" t="s">
        <v>3</v>
      </c>
      <c r="D5" s="1258"/>
      <c r="E5" s="1258"/>
      <c r="F5" s="1258"/>
      <c r="G5" s="1419"/>
      <c r="H5" s="1260"/>
      <c r="I5" s="624" t="s">
        <v>1</v>
      </c>
      <c r="J5" s="623" t="s">
        <v>2</v>
      </c>
      <c r="K5" s="625" t="s">
        <v>3</v>
      </c>
      <c r="L5" s="1258"/>
      <c r="M5" s="1258"/>
      <c r="N5" s="1258"/>
      <c r="O5" s="1258"/>
      <c r="P5" s="1426"/>
      <c r="Q5" s="619"/>
      <c r="T5" s="619"/>
      <c r="U5" s="545"/>
      <c r="V5" s="545"/>
      <c r="W5" s="545"/>
      <c r="X5" s="545"/>
    </row>
    <row r="6" spans="1:24" s="620" customFormat="1" ht="24" customHeight="1" thickTop="1" thickBot="1" x14ac:dyDescent="0.2">
      <c r="A6" s="1253" t="s">
        <v>4</v>
      </c>
      <c r="B6" s="1254"/>
      <c r="C6" s="1254"/>
      <c r="D6" s="626">
        <v>4484599000</v>
      </c>
      <c r="E6" s="627">
        <f>E7+E13+E16+E29+E35+E47+E10+E24</f>
        <v>4265740000</v>
      </c>
      <c r="F6" s="626">
        <f>F7+F13+F16+F29+F35+F47+F10+F24</f>
        <v>-218859000</v>
      </c>
      <c r="G6" s="628">
        <f>F6/D6*100</f>
        <v>-4.8802356687855477</v>
      </c>
      <c r="H6" s="1081"/>
      <c r="I6" s="1427" t="s">
        <v>4</v>
      </c>
      <c r="J6" s="1428"/>
      <c r="K6" s="1429"/>
      <c r="L6" s="630">
        <v>4484599000</v>
      </c>
      <c r="M6" s="630">
        <f>SUM(M7,M24,M29,M47,M50,M53)</f>
        <v>4265740000</v>
      </c>
      <c r="N6" s="630">
        <f>M6-L6</f>
        <v>-218859000</v>
      </c>
      <c r="O6" s="629">
        <f>N6/L6*100</f>
        <v>-4.8802356687855477</v>
      </c>
      <c r="P6" s="631"/>
      <c r="Q6" s="632"/>
      <c r="R6" s="633"/>
      <c r="T6" s="619"/>
      <c r="U6" s="545"/>
      <c r="V6" s="545"/>
      <c r="W6" s="545"/>
      <c r="X6" s="545"/>
    </row>
    <row r="7" spans="1:24" s="620" customFormat="1" ht="21.75" customHeight="1" thickTop="1" x14ac:dyDescent="0.15">
      <c r="A7" s="634" t="s">
        <v>254</v>
      </c>
      <c r="B7" s="1251" t="s">
        <v>255</v>
      </c>
      <c r="C7" s="1251"/>
      <c r="D7" s="635">
        <v>79800000</v>
      </c>
      <c r="E7" s="636">
        <f>E8</f>
        <v>84000000</v>
      </c>
      <c r="F7" s="635">
        <f>F8</f>
        <v>4200000</v>
      </c>
      <c r="G7" s="827">
        <f>F7/D7*100</f>
        <v>5.2631578947368416</v>
      </c>
      <c r="H7" s="1082"/>
      <c r="I7" s="637" t="s">
        <v>107</v>
      </c>
      <c r="J7" s="638" t="s">
        <v>91</v>
      </c>
      <c r="K7" s="638"/>
      <c r="L7" s="639">
        <v>3562580358</v>
      </c>
      <c r="M7" s="639">
        <f>SUM(M8,M15,M17)</f>
        <v>3650290750</v>
      </c>
      <c r="N7" s="640">
        <f>M7-L7</f>
        <v>87710392</v>
      </c>
      <c r="O7" s="843">
        <f>N7/L7*100</f>
        <v>2.4619905570141247</v>
      </c>
      <c r="P7" s="833"/>
      <c r="Q7" s="619"/>
      <c r="R7" s="641"/>
      <c r="T7" s="619"/>
      <c r="U7" s="545"/>
      <c r="V7" s="545"/>
      <c r="W7" s="545"/>
      <c r="X7" s="545"/>
    </row>
    <row r="8" spans="1:24" s="620" customFormat="1" ht="21.75" customHeight="1" x14ac:dyDescent="0.15">
      <c r="A8" s="642"/>
      <c r="B8" s="643" t="s">
        <v>257</v>
      </c>
      <c r="C8" s="643" t="s">
        <v>258</v>
      </c>
      <c r="D8" s="644">
        <v>79800000</v>
      </c>
      <c r="E8" s="644">
        <f>E9</f>
        <v>84000000</v>
      </c>
      <c r="F8" s="644">
        <f>F9</f>
        <v>4200000</v>
      </c>
      <c r="G8" s="828">
        <f>F8/D8*100</f>
        <v>5.2631578947368416</v>
      </c>
      <c r="H8" s="1083"/>
      <c r="I8" s="646"/>
      <c r="J8" s="647" t="s">
        <v>108</v>
      </c>
      <c r="K8" s="647" t="s">
        <v>93</v>
      </c>
      <c r="L8" s="648">
        <v>3312868198</v>
      </c>
      <c r="M8" s="648">
        <f>SUM(M9:M14)</f>
        <v>3383850590</v>
      </c>
      <c r="N8" s="649">
        <f>M8-L8</f>
        <v>70982392</v>
      </c>
      <c r="O8" s="844">
        <f>N8/L8*100</f>
        <v>2.142626502402134</v>
      </c>
      <c r="P8" s="834"/>
      <c r="Q8" s="650"/>
      <c r="R8" s="641"/>
      <c r="T8" s="619"/>
      <c r="U8" s="545"/>
      <c r="V8" s="545"/>
      <c r="W8" s="545"/>
      <c r="X8" s="545"/>
    </row>
    <row r="9" spans="1:24" s="620" customFormat="1" ht="43.5" customHeight="1" x14ac:dyDescent="0.15">
      <c r="A9" s="642"/>
      <c r="B9" s="651"/>
      <c r="C9" s="651" t="s">
        <v>257</v>
      </c>
      <c r="D9" s="652">
        <v>79800000</v>
      </c>
      <c r="E9" s="652">
        <f>'다. 세입내역서'!E9</f>
        <v>84000000</v>
      </c>
      <c r="F9" s="652">
        <f>E9-D9</f>
        <v>4200000</v>
      </c>
      <c r="G9" s="829">
        <f t="shared" ref="G9:G21" si="0">F9/D9*100</f>
        <v>5.2631578947368416</v>
      </c>
      <c r="H9" s="1084" t="s">
        <v>1317</v>
      </c>
      <c r="I9" s="646"/>
      <c r="J9" s="570"/>
      <c r="K9" s="570" t="s">
        <v>109</v>
      </c>
      <c r="L9" s="571">
        <v>1987419000</v>
      </c>
      <c r="M9" s="571">
        <f>'라. 세출내역서'!E10</f>
        <v>2033209000</v>
      </c>
      <c r="N9" s="573">
        <f>M9-L9</f>
        <v>45790000</v>
      </c>
      <c r="O9" s="845">
        <f>N9/L9*100</f>
        <v>2.303993269662814</v>
      </c>
      <c r="P9" s="835" t="s">
        <v>1325</v>
      </c>
      <c r="Q9" s="619"/>
      <c r="T9" s="619"/>
      <c r="U9" s="545"/>
      <c r="V9" s="545"/>
      <c r="W9" s="545"/>
      <c r="X9" s="545"/>
    </row>
    <row r="10" spans="1:24" s="620" customFormat="1" ht="25.5" customHeight="1" x14ac:dyDescent="0.15">
      <c r="A10" s="654" t="s">
        <v>260</v>
      </c>
      <c r="B10" s="1252" t="s">
        <v>255</v>
      </c>
      <c r="C10" s="1252"/>
      <c r="D10" s="655">
        <v>0</v>
      </c>
      <c r="E10" s="655">
        <f>E11</f>
        <v>0</v>
      </c>
      <c r="F10" s="655">
        <f>F11</f>
        <v>0</v>
      </c>
      <c r="G10" s="656">
        <v>0</v>
      </c>
      <c r="H10" s="1085"/>
      <c r="I10" s="646"/>
      <c r="J10" s="570"/>
      <c r="K10" s="570" t="s">
        <v>957</v>
      </c>
      <c r="L10" s="571">
        <v>12000000</v>
      </c>
      <c r="M10" s="571">
        <f>'라. 세출내역서'!E145</f>
        <v>12000000</v>
      </c>
      <c r="N10" s="573">
        <f t="shared" ref="N10:N23" si="1">M10-L10</f>
        <v>0</v>
      </c>
      <c r="O10" s="845">
        <f t="shared" ref="O10:O14" si="2">N10/L10*100</f>
        <v>0</v>
      </c>
      <c r="P10" s="836"/>
      <c r="Q10" s="619"/>
      <c r="T10" s="619"/>
      <c r="U10" s="545"/>
      <c r="V10" s="545"/>
      <c r="W10" s="545"/>
      <c r="X10" s="545"/>
    </row>
    <row r="11" spans="1:24" s="620" customFormat="1" ht="21.75" customHeight="1" x14ac:dyDescent="0.15">
      <c r="A11" s="642"/>
      <c r="B11" s="643" t="s">
        <v>260</v>
      </c>
      <c r="C11" s="643" t="s">
        <v>258</v>
      </c>
      <c r="D11" s="644">
        <v>0</v>
      </c>
      <c r="E11" s="644">
        <f>E12</f>
        <v>0</v>
      </c>
      <c r="F11" s="644">
        <f>F12</f>
        <v>0</v>
      </c>
      <c r="G11" s="828">
        <v>0</v>
      </c>
      <c r="H11" s="1083"/>
      <c r="I11" s="646"/>
      <c r="J11" s="570"/>
      <c r="K11" s="570" t="s">
        <v>110</v>
      </c>
      <c r="L11" s="571">
        <v>783337200</v>
      </c>
      <c r="M11" s="571">
        <f>'라. 세출내역서'!E147</f>
        <v>795425660</v>
      </c>
      <c r="N11" s="573">
        <f t="shared" si="1"/>
        <v>12088460</v>
      </c>
      <c r="O11" s="845">
        <f t="shared" si="2"/>
        <v>1.5432000420763881</v>
      </c>
      <c r="P11" s="836" t="s">
        <v>1328</v>
      </c>
      <c r="Q11" s="619"/>
      <c r="T11" s="619"/>
      <c r="U11" s="545"/>
      <c r="V11" s="545"/>
      <c r="W11" s="545"/>
      <c r="X11" s="545"/>
    </row>
    <row r="12" spans="1:24" s="620" customFormat="1" ht="30.75" customHeight="1" x14ac:dyDescent="0.15">
      <c r="A12" s="642"/>
      <c r="B12" s="651"/>
      <c r="C12" s="651" t="s">
        <v>262</v>
      </c>
      <c r="D12" s="652">
        <v>0</v>
      </c>
      <c r="E12" s="652">
        <f>'[1]다-2.자부담세입'!E13</f>
        <v>0</v>
      </c>
      <c r="F12" s="652">
        <f>E12-D12</f>
        <v>0</v>
      </c>
      <c r="G12" s="653">
        <v>0</v>
      </c>
      <c r="H12" s="1086"/>
      <c r="I12" s="646"/>
      <c r="J12" s="570"/>
      <c r="K12" s="668" t="s">
        <v>888</v>
      </c>
      <c r="L12" s="571">
        <v>228301750</v>
      </c>
      <c r="M12" s="571">
        <f>'라. 세출내역서'!E645</f>
        <v>233124920</v>
      </c>
      <c r="N12" s="573">
        <f t="shared" si="1"/>
        <v>4823170</v>
      </c>
      <c r="O12" s="845">
        <f t="shared" si="2"/>
        <v>2.1126294476498759</v>
      </c>
      <c r="P12" s="836" t="s">
        <v>1329</v>
      </c>
      <c r="Q12" s="619"/>
      <c r="T12" s="619"/>
      <c r="U12" s="545"/>
      <c r="V12" s="545"/>
      <c r="W12" s="545"/>
      <c r="X12" s="545"/>
    </row>
    <row r="13" spans="1:24" s="620" customFormat="1" ht="31.5" customHeight="1" x14ac:dyDescent="0.15">
      <c r="A13" s="654" t="s">
        <v>264</v>
      </c>
      <c r="B13" s="1252" t="s">
        <v>255</v>
      </c>
      <c r="C13" s="1252"/>
      <c r="D13" s="655">
        <v>0</v>
      </c>
      <c r="E13" s="655">
        <f>E14</f>
        <v>0</v>
      </c>
      <c r="F13" s="655">
        <f>F14</f>
        <v>0</v>
      </c>
      <c r="G13" s="656">
        <v>0</v>
      </c>
      <c r="H13" s="1085"/>
      <c r="I13" s="646"/>
      <c r="J13" s="570"/>
      <c r="K13" s="668" t="s">
        <v>889</v>
      </c>
      <c r="L13" s="571">
        <v>276089990</v>
      </c>
      <c r="M13" s="571">
        <f>'라. 세출내역서'!E649</f>
        <v>284041010</v>
      </c>
      <c r="N13" s="573">
        <f t="shared" si="1"/>
        <v>7951020</v>
      </c>
      <c r="O13" s="845">
        <f t="shared" si="2"/>
        <v>2.8798653656367619</v>
      </c>
      <c r="P13" s="836" t="s">
        <v>1005</v>
      </c>
      <c r="Q13" s="633"/>
      <c r="T13" s="619"/>
      <c r="U13" s="545"/>
      <c r="V13" s="545"/>
      <c r="W13" s="545"/>
      <c r="X13" s="545"/>
    </row>
    <row r="14" spans="1:24" s="620" customFormat="1" ht="30.75" customHeight="1" x14ac:dyDescent="0.15">
      <c r="A14" s="642"/>
      <c r="B14" s="643" t="s">
        <v>264</v>
      </c>
      <c r="C14" s="643" t="s">
        <v>258</v>
      </c>
      <c r="D14" s="644">
        <v>0</v>
      </c>
      <c r="E14" s="644">
        <f>E15</f>
        <v>0</v>
      </c>
      <c r="F14" s="644">
        <f>F15</f>
        <v>0</v>
      </c>
      <c r="G14" s="645">
        <v>0</v>
      </c>
      <c r="H14" s="1083"/>
      <c r="I14" s="646"/>
      <c r="J14" s="570"/>
      <c r="K14" s="570" t="s">
        <v>113</v>
      </c>
      <c r="L14" s="571">
        <v>25720258</v>
      </c>
      <c r="M14" s="571">
        <f>'라. 세출내역서'!E665</f>
        <v>26050000</v>
      </c>
      <c r="N14" s="573">
        <f t="shared" si="1"/>
        <v>329742</v>
      </c>
      <c r="O14" s="845">
        <f t="shared" si="2"/>
        <v>1.2820322408896521</v>
      </c>
      <c r="P14" s="835" t="s">
        <v>1330</v>
      </c>
      <c r="Q14" s="619"/>
      <c r="T14" s="619"/>
      <c r="U14" s="545"/>
      <c r="V14" s="545"/>
      <c r="W14" s="545"/>
      <c r="X14" s="545"/>
    </row>
    <row r="15" spans="1:24" s="620" customFormat="1" ht="19.5" customHeight="1" x14ac:dyDescent="0.15">
      <c r="A15" s="642"/>
      <c r="B15" s="651"/>
      <c r="C15" s="651" t="s">
        <v>264</v>
      </c>
      <c r="D15" s="652">
        <v>0</v>
      </c>
      <c r="E15" s="652">
        <v>0</v>
      </c>
      <c r="F15" s="652">
        <f>E15-D15</f>
        <v>0</v>
      </c>
      <c r="G15" s="653">
        <v>0</v>
      </c>
      <c r="H15" s="1086"/>
      <c r="I15" s="646"/>
      <c r="J15" s="647" t="s">
        <v>114</v>
      </c>
      <c r="K15" s="647" t="s">
        <v>93</v>
      </c>
      <c r="L15" s="649">
        <v>1000000</v>
      </c>
      <c r="M15" s="649">
        <f>'나. 세입세출(총괄)'!L16</f>
        <v>1000000</v>
      </c>
      <c r="N15" s="649">
        <f>M15-L15</f>
        <v>0</v>
      </c>
      <c r="O15" s="844">
        <f>N15/L15*100</f>
        <v>0</v>
      </c>
      <c r="P15" s="834"/>
      <c r="Q15" s="619"/>
      <c r="T15" s="619"/>
      <c r="U15" s="545"/>
      <c r="V15" s="545"/>
      <c r="W15" s="545"/>
      <c r="X15" s="545"/>
    </row>
    <row r="16" spans="1:24" s="619" customFormat="1" ht="29.25" customHeight="1" x14ac:dyDescent="0.15">
      <c r="A16" s="654" t="s">
        <v>268</v>
      </c>
      <c r="B16" s="1133" t="s">
        <v>255</v>
      </c>
      <c r="C16" s="1133"/>
      <c r="D16" s="100">
        <v>3608312530</v>
      </c>
      <c r="E16" s="100">
        <f>E17</f>
        <v>3635150270</v>
      </c>
      <c r="F16" s="100">
        <f>F17</f>
        <v>26837740</v>
      </c>
      <c r="G16" s="656">
        <f t="shared" si="0"/>
        <v>0.74377537358162271</v>
      </c>
      <c r="H16" s="1085"/>
      <c r="I16" s="646"/>
      <c r="J16" s="582"/>
      <c r="K16" s="570" t="s">
        <v>115</v>
      </c>
      <c r="L16" s="573">
        <v>1000000</v>
      </c>
      <c r="M16" s="573">
        <f>'나. 세입세출(총괄)'!L17</f>
        <v>1000000</v>
      </c>
      <c r="N16" s="573">
        <f t="shared" si="1"/>
        <v>0</v>
      </c>
      <c r="O16" s="845">
        <f>N16/L16*100</f>
        <v>0</v>
      </c>
      <c r="P16" s="835"/>
      <c r="R16" s="620"/>
      <c r="S16" s="620"/>
      <c r="U16" s="545"/>
      <c r="V16" s="545"/>
      <c r="W16" s="545"/>
      <c r="X16" s="545"/>
    </row>
    <row r="17" spans="1:24" s="619" customFormat="1" ht="20.25" customHeight="1" x14ac:dyDescent="0.15">
      <c r="A17" s="642"/>
      <c r="B17" s="643" t="s">
        <v>268</v>
      </c>
      <c r="C17" s="643" t="s">
        <v>258</v>
      </c>
      <c r="D17" s="658">
        <v>3608312530</v>
      </c>
      <c r="E17" s="658">
        <f>SUM(E18:E21)</f>
        <v>3635150270</v>
      </c>
      <c r="F17" s="658">
        <f>SUM(F18:F21)</f>
        <v>26837740</v>
      </c>
      <c r="G17" s="645">
        <f t="shared" si="0"/>
        <v>0.74377537358162271</v>
      </c>
      <c r="H17" s="1083"/>
      <c r="I17" s="646"/>
      <c r="J17" s="659" t="s">
        <v>116</v>
      </c>
      <c r="K17" s="659" t="s">
        <v>93</v>
      </c>
      <c r="L17" s="649">
        <v>248712160</v>
      </c>
      <c r="M17" s="649">
        <f>'나. 세입세출(총괄)'!L18</f>
        <v>265440160</v>
      </c>
      <c r="N17" s="649">
        <f>M17-L17</f>
        <v>16728000</v>
      </c>
      <c r="O17" s="844">
        <f>N17/L17*100</f>
        <v>6.7258472605440769</v>
      </c>
      <c r="P17" s="834"/>
      <c r="R17" s="641"/>
      <c r="S17" s="620"/>
      <c r="U17" s="545"/>
      <c r="V17" s="545"/>
      <c r="W17" s="545"/>
      <c r="X17" s="545"/>
    </row>
    <row r="18" spans="1:24" s="619" customFormat="1" ht="34.5" customHeight="1" x14ac:dyDescent="0.15">
      <c r="A18" s="642"/>
      <c r="B18" s="651"/>
      <c r="C18" s="660" t="s">
        <v>960</v>
      </c>
      <c r="D18" s="661">
        <v>3302048430</v>
      </c>
      <c r="E18" s="661">
        <f>'다. 세입내역서'!E18</f>
        <v>3342904930</v>
      </c>
      <c r="F18" s="652">
        <f>E18-D18</f>
        <v>40856500</v>
      </c>
      <c r="G18" s="653">
        <f t="shared" si="0"/>
        <v>1.2373077156836247</v>
      </c>
      <c r="H18" s="835" t="s">
        <v>1325</v>
      </c>
      <c r="I18" s="646"/>
      <c r="J18" s="585"/>
      <c r="K18" s="585" t="s">
        <v>117</v>
      </c>
      <c r="L18" s="573">
        <v>1500000</v>
      </c>
      <c r="M18" s="573">
        <f>'나. 세입세출(총괄)'!L19</f>
        <v>1500000</v>
      </c>
      <c r="N18" s="573">
        <f t="shared" si="1"/>
        <v>0</v>
      </c>
      <c r="O18" s="845">
        <f>N18/L18*100</f>
        <v>0</v>
      </c>
      <c r="P18" s="835"/>
      <c r="R18" s="620"/>
      <c r="S18" s="620"/>
      <c r="U18" s="545"/>
      <c r="V18" s="545"/>
      <c r="W18" s="545"/>
      <c r="X18" s="545"/>
    </row>
    <row r="19" spans="1:24" s="619" customFormat="1" ht="59.25" customHeight="1" x14ac:dyDescent="0.15">
      <c r="A19" s="664"/>
      <c r="B19" s="651"/>
      <c r="C19" s="660" t="s">
        <v>964</v>
      </c>
      <c r="D19" s="661">
        <v>222017050</v>
      </c>
      <c r="E19" s="661">
        <f>'다. 세입내역서'!E23</f>
        <v>202696110</v>
      </c>
      <c r="F19" s="652">
        <f>E19-D19</f>
        <v>-19320940</v>
      </c>
      <c r="G19" s="653">
        <f t="shared" si="0"/>
        <v>-8.7024577616899244</v>
      </c>
      <c r="H19" s="835" t="s">
        <v>1326</v>
      </c>
      <c r="I19" s="646"/>
      <c r="J19" s="585"/>
      <c r="K19" s="585" t="s">
        <v>118</v>
      </c>
      <c r="L19" s="573">
        <v>60443323</v>
      </c>
      <c r="M19" s="573">
        <f>'나. 세입세출(총괄)'!L20</f>
        <v>62970160</v>
      </c>
      <c r="N19" s="573">
        <f t="shared" si="1"/>
        <v>2526837</v>
      </c>
      <c r="O19" s="845">
        <f t="shared" ref="O19:O23" si="3">N19/L19*100</f>
        <v>4.1805064225208133</v>
      </c>
      <c r="P19" s="835" t="s">
        <v>1332</v>
      </c>
      <c r="R19" s="620"/>
      <c r="S19" s="620"/>
      <c r="U19" s="545"/>
      <c r="V19" s="545"/>
      <c r="W19" s="545"/>
      <c r="X19" s="545"/>
    </row>
    <row r="20" spans="1:24" s="619" customFormat="1" ht="31.5" customHeight="1" x14ac:dyDescent="0.15">
      <c r="A20" s="642"/>
      <c r="B20" s="651"/>
      <c r="C20" s="660" t="s">
        <v>965</v>
      </c>
      <c r="D20" s="661">
        <v>80247050</v>
      </c>
      <c r="E20" s="661">
        <f>'다. 세입내역서'!E30</f>
        <v>89549230</v>
      </c>
      <c r="F20" s="652">
        <f>E20-D20</f>
        <v>9302180</v>
      </c>
      <c r="G20" s="1117">
        <f t="shared" si="0"/>
        <v>11.591927678338331</v>
      </c>
      <c r="H20" s="835" t="s">
        <v>1327</v>
      </c>
      <c r="I20" s="646"/>
      <c r="J20" s="585"/>
      <c r="K20" s="585" t="s">
        <v>119</v>
      </c>
      <c r="L20" s="573">
        <v>127161967</v>
      </c>
      <c r="M20" s="573">
        <f>'나. 세입세출(총괄)'!L21</f>
        <v>129000000</v>
      </c>
      <c r="N20" s="573">
        <f t="shared" si="1"/>
        <v>1838033</v>
      </c>
      <c r="O20" s="845">
        <f t="shared" si="3"/>
        <v>1.4454266817058594</v>
      </c>
      <c r="P20" s="1066" t="s">
        <v>1351</v>
      </c>
      <c r="R20" s="620"/>
      <c r="S20" s="620"/>
      <c r="U20" s="545"/>
      <c r="V20" s="545"/>
      <c r="W20" s="545"/>
      <c r="X20" s="545"/>
    </row>
    <row r="21" spans="1:24" s="619" customFormat="1" ht="41.25" customHeight="1" x14ac:dyDescent="0.15">
      <c r="A21" s="642"/>
      <c r="B21" s="651"/>
      <c r="C21" s="665" t="s">
        <v>627</v>
      </c>
      <c r="D21" s="661">
        <v>4000000</v>
      </c>
      <c r="E21" s="661">
        <f>'다. 세입내역서'!E32</f>
        <v>0</v>
      </c>
      <c r="F21" s="652">
        <f>E21-D21</f>
        <v>-4000000</v>
      </c>
      <c r="G21" s="829">
        <f t="shared" si="0"/>
        <v>-100</v>
      </c>
      <c r="H21" s="1075" t="s">
        <v>1318</v>
      </c>
      <c r="I21" s="646"/>
      <c r="J21" s="585"/>
      <c r="K21" s="585" t="s">
        <v>120</v>
      </c>
      <c r="L21" s="573">
        <v>14006870</v>
      </c>
      <c r="M21" s="573">
        <f>'나. 세입세출(총괄)'!L22</f>
        <v>14170000</v>
      </c>
      <c r="N21" s="573">
        <f t="shared" si="1"/>
        <v>163130</v>
      </c>
      <c r="O21" s="845">
        <f t="shared" si="3"/>
        <v>1.1646427788649427</v>
      </c>
      <c r="P21" s="1066" t="s">
        <v>1355</v>
      </c>
      <c r="Q21" s="650"/>
      <c r="R21" s="641"/>
      <c r="S21" s="641"/>
      <c r="U21" s="545"/>
      <c r="V21" s="545"/>
      <c r="W21" s="545"/>
      <c r="X21" s="545"/>
    </row>
    <row r="22" spans="1:24" s="619" customFormat="1" ht="38.25" customHeight="1" x14ac:dyDescent="0.15">
      <c r="A22" s="666"/>
      <c r="B22" s="651"/>
      <c r="C22" s="651"/>
      <c r="D22" s="661"/>
      <c r="E22" s="661"/>
      <c r="F22" s="661"/>
      <c r="G22" s="653"/>
      <c r="H22" s="1076"/>
      <c r="I22" s="646"/>
      <c r="J22" s="585"/>
      <c r="K22" s="585" t="s">
        <v>121</v>
      </c>
      <c r="L22" s="573">
        <v>39000000</v>
      </c>
      <c r="M22" s="573">
        <f>'나. 세입세출(총괄)'!L23</f>
        <v>50000000</v>
      </c>
      <c r="N22" s="573">
        <f t="shared" si="1"/>
        <v>11000000</v>
      </c>
      <c r="O22" s="845">
        <f t="shared" si="3"/>
        <v>28.205128205128204</v>
      </c>
      <c r="P22" s="835" t="s">
        <v>1148</v>
      </c>
      <c r="Q22" s="650"/>
      <c r="R22" s="641"/>
      <c r="S22" s="641"/>
      <c r="U22" s="545"/>
      <c r="V22" s="545"/>
      <c r="W22" s="545"/>
      <c r="X22" s="545"/>
    </row>
    <row r="23" spans="1:24" s="619" customFormat="1" ht="27.75" customHeight="1" x14ac:dyDescent="0.15">
      <c r="A23" s="642"/>
      <c r="B23" s="651"/>
      <c r="C23" s="651"/>
      <c r="D23" s="661"/>
      <c r="E23" s="661"/>
      <c r="F23" s="661"/>
      <c r="G23" s="653"/>
      <c r="H23" s="1076"/>
      <c r="I23" s="646"/>
      <c r="J23" s="585"/>
      <c r="K23" s="585" t="s">
        <v>122</v>
      </c>
      <c r="L23" s="573">
        <v>6600000</v>
      </c>
      <c r="M23" s="573">
        <f>'나. 세입세출(총괄)'!L24</f>
        <v>7800000</v>
      </c>
      <c r="N23" s="573">
        <f t="shared" si="1"/>
        <v>1200000</v>
      </c>
      <c r="O23" s="845">
        <f t="shared" si="3"/>
        <v>18.181818181818183</v>
      </c>
      <c r="P23" s="835" t="s">
        <v>1334</v>
      </c>
      <c r="Q23" s="650"/>
      <c r="R23" s="641"/>
      <c r="S23" s="641"/>
      <c r="U23" s="545"/>
      <c r="V23" s="545"/>
      <c r="W23" s="545"/>
      <c r="X23" s="545"/>
    </row>
    <row r="24" spans="1:24" s="619" customFormat="1" ht="20.25" customHeight="1" x14ac:dyDescent="0.15">
      <c r="A24" s="654" t="s">
        <v>284</v>
      </c>
      <c r="B24" s="1133" t="s">
        <v>255</v>
      </c>
      <c r="C24" s="1133"/>
      <c r="D24" s="100">
        <v>395740000</v>
      </c>
      <c r="E24" s="100">
        <f>E25+E28</f>
        <v>353400000</v>
      </c>
      <c r="F24" s="100">
        <f>F25+F28</f>
        <v>-42340000</v>
      </c>
      <c r="G24" s="830">
        <f>F24/D24*100</f>
        <v>-10.698943750947592</v>
      </c>
      <c r="H24" s="1077"/>
      <c r="I24" s="667" t="s">
        <v>123</v>
      </c>
      <c r="J24" s="587" t="s">
        <v>91</v>
      </c>
      <c r="K24" s="587"/>
      <c r="L24" s="588">
        <v>201575500</v>
      </c>
      <c r="M24" s="588">
        <f>M25</f>
        <v>146933378</v>
      </c>
      <c r="N24" s="588">
        <f t="shared" ref="N24:N36" si="4">M24-L24</f>
        <v>-54642122</v>
      </c>
      <c r="O24" s="846">
        <f>N24/L24*100</f>
        <v>-27.107521499388564</v>
      </c>
      <c r="P24" s="837"/>
      <c r="Q24" s="650"/>
      <c r="R24" s="641"/>
      <c r="S24" s="641"/>
      <c r="U24" s="545"/>
      <c r="V24" s="545"/>
      <c r="W24" s="545"/>
      <c r="X24" s="545"/>
    </row>
    <row r="25" spans="1:24" s="619" customFormat="1" ht="20.25" customHeight="1" x14ac:dyDescent="0.15">
      <c r="A25" s="642"/>
      <c r="B25" s="643" t="s">
        <v>285</v>
      </c>
      <c r="C25" s="643" t="s">
        <v>258</v>
      </c>
      <c r="D25" s="658">
        <v>395740000</v>
      </c>
      <c r="E25" s="658">
        <f>SUM(E26:E27)</f>
        <v>353400000</v>
      </c>
      <c r="F25" s="658">
        <f>SUM(F26:F27)</f>
        <v>-42340000</v>
      </c>
      <c r="G25" s="828">
        <f>F25/D25*100</f>
        <v>-10.698943750947592</v>
      </c>
      <c r="H25" s="1083"/>
      <c r="I25" s="646"/>
      <c r="J25" s="659" t="s">
        <v>124</v>
      </c>
      <c r="K25" s="659" t="s">
        <v>93</v>
      </c>
      <c r="L25" s="648">
        <v>201575500</v>
      </c>
      <c r="M25" s="648">
        <f>SUM(M26:M28)</f>
        <v>146933378</v>
      </c>
      <c r="N25" s="649">
        <f t="shared" si="4"/>
        <v>-54642122</v>
      </c>
      <c r="O25" s="844">
        <f>N25/L25*100</f>
        <v>-27.107521499388564</v>
      </c>
      <c r="P25" s="834"/>
      <c r="Q25" s="650"/>
      <c r="R25" s="641"/>
      <c r="S25" s="641"/>
      <c r="U25" s="545"/>
      <c r="V25" s="545"/>
      <c r="W25" s="545"/>
      <c r="X25" s="545"/>
    </row>
    <row r="26" spans="1:24" s="619" customFormat="1" ht="38.25" customHeight="1" x14ac:dyDescent="0.15">
      <c r="A26" s="642"/>
      <c r="B26" s="651"/>
      <c r="C26" s="651" t="s">
        <v>287</v>
      </c>
      <c r="D26" s="661">
        <v>71740000</v>
      </c>
      <c r="E26" s="661">
        <f>'다. 세입내역서'!E35</f>
        <v>29400000</v>
      </c>
      <c r="F26" s="652">
        <f>E26-D26</f>
        <v>-42340000</v>
      </c>
      <c r="G26" s="829">
        <f>F26/D26*100</f>
        <v>-59.01867856147198</v>
      </c>
      <c r="H26" s="663" t="s">
        <v>1320</v>
      </c>
      <c r="I26" s="646"/>
      <c r="J26" s="585"/>
      <c r="K26" s="585" t="s">
        <v>124</v>
      </c>
      <c r="L26" s="571">
        <v>70000000</v>
      </c>
      <c r="M26" s="571">
        <f>'라. 세출내역서'!E727</f>
        <v>86000000</v>
      </c>
      <c r="N26" s="573">
        <f t="shared" si="4"/>
        <v>16000000</v>
      </c>
      <c r="O26" s="845">
        <v>0</v>
      </c>
      <c r="P26" s="835"/>
      <c r="Q26" s="650"/>
      <c r="R26" s="641"/>
      <c r="S26" s="641"/>
      <c r="U26" s="545"/>
      <c r="V26" s="545"/>
      <c r="W26" s="545"/>
      <c r="X26" s="545"/>
    </row>
    <row r="27" spans="1:24" s="619" customFormat="1" ht="33.75" customHeight="1" x14ac:dyDescent="0.15">
      <c r="A27" s="642"/>
      <c r="B27" s="651"/>
      <c r="C27" s="651" t="s">
        <v>289</v>
      </c>
      <c r="D27" s="661">
        <v>324000000</v>
      </c>
      <c r="E27" s="661">
        <f>'다. 세입내역서'!E36</f>
        <v>324000000</v>
      </c>
      <c r="F27" s="652">
        <f>E27-D27</f>
        <v>0</v>
      </c>
      <c r="G27" s="829">
        <f>F27/D27*100</f>
        <v>0</v>
      </c>
      <c r="H27" s="1080"/>
      <c r="I27" s="797"/>
      <c r="J27" s="798"/>
      <c r="K27" s="798" t="s">
        <v>125</v>
      </c>
      <c r="L27" s="799">
        <v>70000000</v>
      </c>
      <c r="M27" s="799">
        <f>'나. 세입세출(총괄)'!L28</f>
        <v>19156157</v>
      </c>
      <c r="N27" s="800">
        <f t="shared" si="4"/>
        <v>-50843843</v>
      </c>
      <c r="O27" s="845">
        <f t="shared" ref="O27:O28" si="5">N27/L27*100</f>
        <v>-72.634061428571428</v>
      </c>
      <c r="P27" s="1148" t="s">
        <v>1352</v>
      </c>
      <c r="Q27" s="650"/>
      <c r="R27" s="641"/>
      <c r="S27" s="620"/>
      <c r="U27" s="545"/>
      <c r="V27" s="545"/>
      <c r="W27" s="545"/>
      <c r="X27" s="545"/>
    </row>
    <row r="28" spans="1:24" s="619" customFormat="1" ht="21.75" customHeight="1" x14ac:dyDescent="0.15">
      <c r="A28" s="642"/>
      <c r="B28" s="651"/>
      <c r="C28" s="651"/>
      <c r="D28" s="661"/>
      <c r="E28" s="661"/>
      <c r="F28" s="661"/>
      <c r="G28" s="653"/>
      <c r="H28" s="1076"/>
      <c r="I28" s="646"/>
      <c r="J28" s="570"/>
      <c r="K28" s="570" t="s">
        <v>126</v>
      </c>
      <c r="L28" s="571">
        <v>61575500</v>
      </c>
      <c r="M28" s="571">
        <f>'나. 세입세출(총괄)'!L29</f>
        <v>41777221</v>
      </c>
      <c r="N28" s="573">
        <f t="shared" si="4"/>
        <v>-19798279</v>
      </c>
      <c r="O28" s="845">
        <f t="shared" si="5"/>
        <v>-32.152851377577122</v>
      </c>
      <c r="P28" s="835"/>
      <c r="Q28" s="650"/>
      <c r="R28" s="641"/>
      <c r="S28" s="620"/>
      <c r="U28" s="545"/>
      <c r="V28" s="545"/>
      <c r="W28" s="545"/>
      <c r="X28" s="545"/>
    </row>
    <row r="29" spans="1:24" s="619" customFormat="1" ht="21.75" customHeight="1" x14ac:dyDescent="0.15">
      <c r="A29" s="654" t="s">
        <v>292</v>
      </c>
      <c r="B29" s="1133" t="s">
        <v>255</v>
      </c>
      <c r="C29" s="1133"/>
      <c r="D29" s="100">
        <v>40000000</v>
      </c>
      <c r="E29" s="100">
        <f>E30</f>
        <v>40000000</v>
      </c>
      <c r="F29" s="100">
        <f>F30</f>
        <v>0</v>
      </c>
      <c r="G29" s="656">
        <f>F29/D29*100</f>
        <v>0</v>
      </c>
      <c r="H29" s="1077"/>
      <c r="I29" s="667" t="s">
        <v>127</v>
      </c>
      <c r="J29" s="593" t="s">
        <v>91</v>
      </c>
      <c r="K29" s="593"/>
      <c r="L29" s="588">
        <v>467265202</v>
      </c>
      <c r="M29" s="588">
        <f>SUM(M30,M36,M45)</f>
        <v>416354042</v>
      </c>
      <c r="N29" s="588">
        <f t="shared" si="4"/>
        <v>-50911160</v>
      </c>
      <c r="O29" s="846">
        <f>N29/L29*100</f>
        <v>-10.895559905186349</v>
      </c>
      <c r="P29" s="838"/>
      <c r="Q29" s="650"/>
      <c r="R29" s="641"/>
      <c r="S29" s="620"/>
      <c r="U29" s="545"/>
      <c r="V29" s="545"/>
      <c r="W29" s="545"/>
      <c r="X29" s="545"/>
    </row>
    <row r="30" spans="1:24" s="619" customFormat="1" ht="21.75" customHeight="1" x14ac:dyDescent="0.15">
      <c r="A30" s="642"/>
      <c r="B30" s="643" t="s">
        <v>292</v>
      </c>
      <c r="C30" s="643" t="s">
        <v>258</v>
      </c>
      <c r="D30" s="658">
        <v>40000000</v>
      </c>
      <c r="E30" s="658">
        <f>E31</f>
        <v>40000000</v>
      </c>
      <c r="F30" s="658">
        <f>F31</f>
        <v>0</v>
      </c>
      <c r="G30" s="828">
        <f>F30/D30*100</f>
        <v>0</v>
      </c>
      <c r="H30" s="1078"/>
      <c r="I30" s="646"/>
      <c r="J30" s="647" t="s">
        <v>116</v>
      </c>
      <c r="K30" s="647" t="s">
        <v>93</v>
      </c>
      <c r="L30" s="648">
        <v>300865740</v>
      </c>
      <c r="M30" s="648">
        <f>SUM(M31:M35)</f>
        <v>295141680</v>
      </c>
      <c r="N30" s="649">
        <f t="shared" si="4"/>
        <v>-5724060</v>
      </c>
      <c r="O30" s="844">
        <f>N30/L30*100</f>
        <v>-1.9025296798498892</v>
      </c>
      <c r="P30" s="834"/>
      <c r="Q30" s="650"/>
      <c r="R30" s="641"/>
      <c r="S30" s="620"/>
      <c r="U30" s="545"/>
      <c r="V30" s="545"/>
      <c r="W30" s="545"/>
      <c r="X30" s="545"/>
    </row>
    <row r="31" spans="1:24" s="619" customFormat="1" ht="35.25" customHeight="1" x14ac:dyDescent="0.15">
      <c r="A31" s="642"/>
      <c r="B31" s="651"/>
      <c r="C31" s="651" t="s">
        <v>294</v>
      </c>
      <c r="D31" s="661">
        <v>40000000</v>
      </c>
      <c r="E31" s="661">
        <f>'다. 세입내역서'!E39</f>
        <v>40000000</v>
      </c>
      <c r="F31" s="652">
        <f>E31-D31</f>
        <v>0</v>
      </c>
      <c r="G31" s="653">
        <f>F31/D31*100</f>
        <v>0</v>
      </c>
      <c r="H31" s="1080"/>
      <c r="I31" s="646"/>
      <c r="J31" s="570"/>
      <c r="K31" s="570" t="s">
        <v>128</v>
      </c>
      <c r="L31" s="571">
        <v>255915740</v>
      </c>
      <c r="M31" s="571">
        <f>'나. 세입세출(총괄)'!L32</f>
        <v>249641680</v>
      </c>
      <c r="N31" s="573">
        <f t="shared" si="4"/>
        <v>-6274060</v>
      </c>
      <c r="O31" s="845">
        <f t="shared" ref="O31:O46" si="6">N31/L31*100</f>
        <v>-2.4516116124783887</v>
      </c>
      <c r="P31" s="835" t="s">
        <v>1335</v>
      </c>
      <c r="Q31" s="650"/>
      <c r="R31" s="641"/>
      <c r="S31" s="620"/>
      <c r="U31" s="545"/>
      <c r="V31" s="545"/>
      <c r="W31" s="545"/>
      <c r="X31" s="545"/>
    </row>
    <row r="32" spans="1:24" s="620" customFormat="1" ht="29.25" customHeight="1" x14ac:dyDescent="0.15">
      <c r="A32" s="1087"/>
      <c r="B32" s="1072"/>
      <c r="C32" s="1072"/>
      <c r="D32" s="1072"/>
      <c r="E32" s="1072"/>
      <c r="F32" s="1072"/>
      <c r="G32" s="1072"/>
      <c r="H32" s="1079"/>
      <c r="I32" s="646"/>
      <c r="J32" s="570"/>
      <c r="K32" s="570" t="s">
        <v>129</v>
      </c>
      <c r="L32" s="571">
        <v>30000000</v>
      </c>
      <c r="M32" s="571">
        <f>'나. 세입세출(총괄)'!L33</f>
        <v>30000000</v>
      </c>
      <c r="N32" s="573">
        <f t="shared" si="4"/>
        <v>0</v>
      </c>
      <c r="O32" s="845">
        <f t="shared" si="6"/>
        <v>0</v>
      </c>
      <c r="P32" s="835"/>
      <c r="Q32" s="650"/>
      <c r="R32" s="641"/>
      <c r="T32" s="619"/>
      <c r="U32" s="545"/>
      <c r="V32" s="545"/>
      <c r="W32" s="545"/>
      <c r="X32" s="545"/>
    </row>
    <row r="33" spans="1:24" s="620" customFormat="1" ht="33.75" customHeight="1" x14ac:dyDescent="0.15">
      <c r="A33" s="1087"/>
      <c r="B33" s="1072"/>
      <c r="C33" s="1072"/>
      <c r="D33" s="1072"/>
      <c r="E33" s="1072"/>
      <c r="F33" s="1072"/>
      <c r="G33" s="1072"/>
      <c r="H33" s="1079"/>
      <c r="I33" s="646"/>
      <c r="J33" s="570"/>
      <c r="K33" s="570" t="s">
        <v>130</v>
      </c>
      <c r="L33" s="571">
        <v>1800000</v>
      </c>
      <c r="M33" s="571">
        <f>'나. 세입세출(총괄)'!L34</f>
        <v>4000000</v>
      </c>
      <c r="N33" s="573">
        <f t="shared" si="4"/>
        <v>2200000</v>
      </c>
      <c r="O33" s="845">
        <f t="shared" si="6"/>
        <v>122.22222222222223</v>
      </c>
      <c r="P33" s="835" t="s">
        <v>1336</v>
      </c>
      <c r="Q33" s="650"/>
      <c r="R33" s="641"/>
      <c r="T33" s="619"/>
      <c r="U33" s="545"/>
      <c r="V33" s="545"/>
      <c r="W33" s="545"/>
      <c r="X33" s="545"/>
    </row>
    <row r="34" spans="1:24" s="620" customFormat="1" ht="30" customHeight="1" x14ac:dyDescent="0.15">
      <c r="A34" s="1087"/>
      <c r="B34" s="1072"/>
      <c r="C34" s="1072"/>
      <c r="D34" s="1072"/>
      <c r="E34" s="1072"/>
      <c r="F34" s="1072"/>
      <c r="G34" s="1072"/>
      <c r="H34" s="1079"/>
      <c r="I34" s="646"/>
      <c r="J34" s="570"/>
      <c r="K34" s="570" t="s">
        <v>131</v>
      </c>
      <c r="L34" s="571">
        <v>7150000</v>
      </c>
      <c r="M34" s="571">
        <f>'나. 세입세출(총괄)'!L35</f>
        <v>5500000</v>
      </c>
      <c r="N34" s="573">
        <f t="shared" si="4"/>
        <v>-1650000</v>
      </c>
      <c r="O34" s="845">
        <f t="shared" si="6"/>
        <v>-23.076923076923077</v>
      </c>
      <c r="P34" s="835" t="s">
        <v>1337</v>
      </c>
      <c r="Q34" s="650"/>
      <c r="R34" s="641"/>
      <c r="T34" s="619"/>
      <c r="U34" s="545"/>
      <c r="V34" s="545"/>
      <c r="W34" s="545"/>
      <c r="X34" s="545"/>
    </row>
    <row r="35" spans="1:24" s="620" customFormat="1" ht="36" customHeight="1" x14ac:dyDescent="0.15">
      <c r="A35" s="654" t="s">
        <v>295</v>
      </c>
      <c r="B35" s="1133" t="s">
        <v>255</v>
      </c>
      <c r="C35" s="1133"/>
      <c r="D35" s="100">
        <v>311147999</v>
      </c>
      <c r="E35" s="100">
        <f>E36</f>
        <v>103790000</v>
      </c>
      <c r="F35" s="100">
        <f>F36</f>
        <v>-207357999</v>
      </c>
      <c r="G35" s="656">
        <f t="shared" ref="G35:G40" si="7">F35/D35*100</f>
        <v>-66.642883665146115</v>
      </c>
      <c r="H35" s="1077"/>
      <c r="I35" s="646"/>
      <c r="J35" s="570"/>
      <c r="K35" s="570" t="s">
        <v>132</v>
      </c>
      <c r="L35" s="571">
        <v>6000000</v>
      </c>
      <c r="M35" s="571">
        <f>'나. 세입세출(총괄)'!L36</f>
        <v>6000000</v>
      </c>
      <c r="N35" s="573">
        <f t="shared" si="4"/>
        <v>0</v>
      </c>
      <c r="O35" s="845">
        <v>100</v>
      </c>
      <c r="P35" s="1226"/>
      <c r="Q35" s="619"/>
      <c r="T35" s="619"/>
      <c r="U35" s="545"/>
      <c r="V35" s="545"/>
      <c r="W35" s="545"/>
      <c r="X35" s="545"/>
    </row>
    <row r="36" spans="1:24" s="620" customFormat="1" ht="17.25" customHeight="1" x14ac:dyDescent="0.15">
      <c r="A36" s="642"/>
      <c r="B36" s="643" t="s">
        <v>295</v>
      </c>
      <c r="C36" s="643" t="s">
        <v>258</v>
      </c>
      <c r="D36" s="658">
        <v>311147999</v>
      </c>
      <c r="E36" s="658">
        <f>SUM(E37:E41)</f>
        <v>103790000</v>
      </c>
      <c r="F36" s="658">
        <f>SUM(F37:F41)</f>
        <v>-207357999</v>
      </c>
      <c r="G36" s="645">
        <f t="shared" si="7"/>
        <v>-66.642883665146115</v>
      </c>
      <c r="H36" s="1078"/>
      <c r="I36" s="646"/>
      <c r="J36" s="647" t="s">
        <v>127</v>
      </c>
      <c r="K36" s="647" t="s">
        <v>93</v>
      </c>
      <c r="L36" s="648">
        <v>162799462</v>
      </c>
      <c r="M36" s="648">
        <f>SUM(M37:M44)</f>
        <v>117612362</v>
      </c>
      <c r="N36" s="649">
        <f t="shared" si="4"/>
        <v>-45187100</v>
      </c>
      <c r="O36" s="847">
        <v>-9.95204067610279</v>
      </c>
      <c r="P36" s="840"/>
      <c r="Q36" s="619"/>
      <c r="T36" s="619"/>
      <c r="U36" s="545"/>
      <c r="V36" s="545"/>
      <c r="W36" s="545"/>
      <c r="X36" s="545"/>
    </row>
    <row r="37" spans="1:24" s="620" customFormat="1" ht="36" customHeight="1" x14ac:dyDescent="0.15">
      <c r="A37" s="642"/>
      <c r="B37" s="651"/>
      <c r="C37" s="742" t="s">
        <v>891</v>
      </c>
      <c r="D37" s="661">
        <v>250613106</v>
      </c>
      <c r="E37" s="661">
        <f>'다. 세입내역서'!E42</f>
        <v>50000000</v>
      </c>
      <c r="F37" s="743">
        <f>E37-D37</f>
        <v>-200613106</v>
      </c>
      <c r="G37" s="1065">
        <f t="shared" si="7"/>
        <v>-80.048928486605163</v>
      </c>
      <c r="H37" s="1080" t="s">
        <v>1321</v>
      </c>
      <c r="I37" s="646"/>
      <c r="J37" s="570"/>
      <c r="K37" s="668" t="s">
        <v>629</v>
      </c>
      <c r="L37" s="571">
        <v>66072362</v>
      </c>
      <c r="M37" s="571">
        <f>'나. 세입세출(총괄)'!L38</f>
        <v>66072362</v>
      </c>
      <c r="N37" s="573">
        <f t="shared" ref="N37:N46" si="8">M37-L37</f>
        <v>0</v>
      </c>
      <c r="O37" s="845">
        <f t="shared" si="6"/>
        <v>0</v>
      </c>
      <c r="P37" s="835"/>
      <c r="Q37" s="619"/>
      <c r="T37" s="619"/>
      <c r="U37" s="545"/>
      <c r="V37" s="545"/>
      <c r="W37" s="545"/>
      <c r="X37" s="545"/>
    </row>
    <row r="38" spans="1:24" s="620" customFormat="1" ht="33" customHeight="1" x14ac:dyDescent="0.15">
      <c r="A38" s="642"/>
      <c r="B38" s="651"/>
      <c r="C38" s="1067" t="s">
        <v>899</v>
      </c>
      <c r="D38" s="661">
        <v>4721463</v>
      </c>
      <c r="E38" s="661">
        <f>'다. 세입내역서'!E43</f>
        <v>1120000</v>
      </c>
      <c r="F38" s="743">
        <f>E38-D38</f>
        <v>-3601463</v>
      </c>
      <c r="G38" s="1065">
        <f t="shared" si="7"/>
        <v>-76.278539088413908</v>
      </c>
      <c r="H38" s="1080" t="s">
        <v>1322</v>
      </c>
      <c r="I38" s="646"/>
      <c r="J38" s="570"/>
      <c r="K38" s="570" t="str">
        <f>'라. 세출내역서'!C795</f>
        <v>환경개선사업비</v>
      </c>
      <c r="L38" s="571">
        <v>22000000</v>
      </c>
      <c r="M38" s="571">
        <f>'나. 세입세출(총괄)'!L39</f>
        <v>0</v>
      </c>
      <c r="N38" s="573">
        <f t="shared" si="8"/>
        <v>-22000000</v>
      </c>
      <c r="O38" s="845">
        <v>100</v>
      </c>
      <c r="P38" s="1148" t="s">
        <v>1338</v>
      </c>
      <c r="Q38" s="619"/>
      <c r="T38" s="619"/>
      <c r="U38" s="545"/>
      <c r="V38" s="545"/>
      <c r="W38" s="545"/>
      <c r="X38" s="545"/>
    </row>
    <row r="39" spans="1:24" s="620" customFormat="1" ht="28.5" customHeight="1" x14ac:dyDescent="0.15">
      <c r="A39" s="1087"/>
      <c r="B39" s="1072"/>
      <c r="C39" s="742" t="s">
        <v>892</v>
      </c>
      <c r="D39" s="1064">
        <v>14424572</v>
      </c>
      <c r="E39" s="661">
        <f>'다. 세입내역서'!E44</f>
        <v>21700000</v>
      </c>
      <c r="F39" s="743">
        <f>E39-D39</f>
        <v>7275428</v>
      </c>
      <c r="G39" s="1065">
        <f t="shared" si="7"/>
        <v>50.437739157875882</v>
      </c>
      <c r="H39" s="1080" t="s">
        <v>1323</v>
      </c>
      <c r="I39" s="646"/>
      <c r="J39" s="570"/>
      <c r="K39" s="668" t="s">
        <v>890</v>
      </c>
      <c r="L39" s="571">
        <v>32840000</v>
      </c>
      <c r="M39" s="571">
        <f>'나. 세입세출(총괄)'!L40</f>
        <v>32840000</v>
      </c>
      <c r="N39" s="573">
        <f t="shared" si="8"/>
        <v>0</v>
      </c>
      <c r="O39" s="845">
        <f t="shared" si="6"/>
        <v>0</v>
      </c>
      <c r="P39" s="839"/>
      <c r="Q39" s="619"/>
      <c r="T39" s="619"/>
      <c r="U39" s="545"/>
      <c r="V39" s="545"/>
      <c r="W39" s="545"/>
      <c r="X39" s="545"/>
    </row>
    <row r="40" spans="1:24" s="620" customFormat="1" ht="28.5" customHeight="1" x14ac:dyDescent="0.15">
      <c r="A40" s="1087"/>
      <c r="B40" s="1072"/>
      <c r="C40" s="734" t="s">
        <v>893</v>
      </c>
      <c r="D40" s="1064">
        <v>41388858</v>
      </c>
      <c r="E40" s="661">
        <f>'다. 세입내역서'!E45</f>
        <v>30970000</v>
      </c>
      <c r="F40" s="735">
        <f>E40-D40</f>
        <v>-10418858</v>
      </c>
      <c r="G40" s="736">
        <f t="shared" si="7"/>
        <v>-25.173098518446679</v>
      </c>
      <c r="H40" s="1080" t="s">
        <v>1324</v>
      </c>
      <c r="I40" s="646"/>
      <c r="J40" s="570"/>
      <c r="K40" s="668" t="s">
        <v>1339</v>
      </c>
      <c r="L40" s="571">
        <v>6600000</v>
      </c>
      <c r="M40" s="571">
        <f>'나. 세입세출(총괄)'!L41</f>
        <v>6600000</v>
      </c>
      <c r="N40" s="573">
        <f t="shared" si="8"/>
        <v>0</v>
      </c>
      <c r="O40" s="845">
        <f t="shared" si="6"/>
        <v>0</v>
      </c>
      <c r="P40" s="839"/>
      <c r="Q40" s="619"/>
      <c r="T40" s="619"/>
      <c r="U40" s="545"/>
      <c r="V40" s="545"/>
      <c r="W40" s="545"/>
      <c r="X40" s="545"/>
    </row>
    <row r="41" spans="1:24" s="620" customFormat="1" ht="37.5" customHeight="1" x14ac:dyDescent="0.15">
      <c r="A41" s="1087"/>
      <c r="B41" s="1072"/>
      <c r="C41" s="748" t="s">
        <v>102</v>
      </c>
      <c r="D41" s="759">
        <v>0</v>
      </c>
      <c r="E41" s="760">
        <v>0</v>
      </c>
      <c r="F41" s="735">
        <f>E41-D41</f>
        <v>0</v>
      </c>
      <c r="G41" s="761">
        <v>0</v>
      </c>
      <c r="H41" s="1079"/>
      <c r="I41" s="646"/>
      <c r="J41" s="570"/>
      <c r="K41" s="668" t="s">
        <v>643</v>
      </c>
      <c r="L41" s="571">
        <v>5000000</v>
      </c>
      <c r="M41" s="571">
        <f>'나. 세입세출(총괄)'!L42</f>
        <v>1000000</v>
      </c>
      <c r="N41" s="573">
        <f t="shared" si="8"/>
        <v>-4000000</v>
      </c>
      <c r="O41" s="845">
        <f t="shared" si="6"/>
        <v>-80</v>
      </c>
      <c r="P41" s="841" t="s">
        <v>1340</v>
      </c>
      <c r="Q41" s="619"/>
      <c r="T41" s="619"/>
      <c r="U41" s="545"/>
      <c r="V41" s="545"/>
      <c r="W41" s="545"/>
      <c r="X41" s="545"/>
    </row>
    <row r="42" spans="1:24" s="620" customFormat="1" ht="36.75" customHeight="1" x14ac:dyDescent="0.15">
      <c r="A42" s="1087"/>
      <c r="B42" s="1072"/>
      <c r="C42" s="748"/>
      <c r="D42" s="759"/>
      <c r="E42" s="760"/>
      <c r="F42" s="735"/>
      <c r="G42" s="761"/>
      <c r="H42" s="1079"/>
      <c r="I42" s="646"/>
      <c r="J42" s="570"/>
      <c r="K42" s="668" t="s">
        <v>642</v>
      </c>
      <c r="L42" s="571">
        <v>2100000</v>
      </c>
      <c r="M42" s="571">
        <f>'라. 세출내역서'!E810</f>
        <v>2100000</v>
      </c>
      <c r="N42" s="573">
        <f t="shared" ref="N42" si="9">M42-L42</f>
        <v>0</v>
      </c>
      <c r="O42" s="845">
        <f t="shared" si="6"/>
        <v>0</v>
      </c>
      <c r="P42" s="835" t="s">
        <v>1341</v>
      </c>
      <c r="Q42" s="619"/>
      <c r="T42" s="619"/>
      <c r="U42" s="545"/>
      <c r="V42" s="545"/>
      <c r="W42" s="545"/>
      <c r="X42" s="545"/>
    </row>
    <row r="43" spans="1:24" s="620" customFormat="1" ht="40.5" customHeight="1" x14ac:dyDescent="0.15">
      <c r="A43" s="1087"/>
      <c r="B43" s="1072"/>
      <c r="C43" s="1072"/>
      <c r="D43" s="1072"/>
      <c r="E43" s="1072"/>
      <c r="F43" s="1072"/>
      <c r="G43" s="1072"/>
      <c r="H43" s="1079"/>
      <c r="I43" s="646"/>
      <c r="J43" s="570"/>
      <c r="K43" s="668" t="s">
        <v>943</v>
      </c>
      <c r="L43" s="571">
        <v>7140000</v>
      </c>
      <c r="M43" s="571">
        <f>'라. 세출내역서'!E813</f>
        <v>0</v>
      </c>
      <c r="N43" s="573">
        <f t="shared" si="8"/>
        <v>-7140000</v>
      </c>
      <c r="O43" s="845">
        <v>0</v>
      </c>
      <c r="P43" s="835" t="s">
        <v>1342</v>
      </c>
      <c r="Q43" s="619"/>
      <c r="T43" s="619"/>
      <c r="U43" s="545"/>
      <c r="V43" s="545"/>
      <c r="W43" s="545"/>
      <c r="X43" s="545"/>
    </row>
    <row r="44" spans="1:24" s="620" customFormat="1" ht="40.5" customHeight="1" x14ac:dyDescent="0.15">
      <c r="A44" s="1087"/>
      <c r="B44" s="1072"/>
      <c r="C44" s="1072"/>
      <c r="D44" s="1072"/>
      <c r="E44" s="1072"/>
      <c r="F44" s="1072"/>
      <c r="G44" s="1072"/>
      <c r="H44" s="1079"/>
      <c r="I44" s="646"/>
      <c r="J44" s="570"/>
      <c r="K44" s="570" t="str">
        <f>'라. 세출내역서'!C815</f>
        <v>바보의나눔사업</v>
      </c>
      <c r="L44" s="571">
        <v>21047100</v>
      </c>
      <c r="M44" s="571">
        <f>'라. 세출내역서'!E815</f>
        <v>9000000</v>
      </c>
      <c r="N44" s="573">
        <f t="shared" ref="N44" si="10">M44-L44</f>
        <v>-12047100</v>
      </c>
      <c r="O44" s="845">
        <v>1</v>
      </c>
      <c r="P44" s="1149" t="s">
        <v>1353</v>
      </c>
      <c r="Q44" s="619"/>
      <c r="T44" s="619"/>
      <c r="U44" s="545"/>
      <c r="V44" s="545"/>
      <c r="W44" s="545"/>
      <c r="X44" s="545"/>
    </row>
    <row r="45" spans="1:24" s="620" customFormat="1" ht="21.75" customHeight="1" x14ac:dyDescent="0.15">
      <c r="A45" s="1087"/>
      <c r="B45" s="1072"/>
      <c r="C45" s="1072"/>
      <c r="D45" s="1072"/>
      <c r="E45" s="1072"/>
      <c r="F45" s="1072"/>
      <c r="G45" s="1072"/>
      <c r="H45" s="1079"/>
      <c r="I45" s="646"/>
      <c r="J45" s="647" t="s">
        <v>239</v>
      </c>
      <c r="K45" s="647" t="s">
        <v>93</v>
      </c>
      <c r="L45" s="648">
        <v>3600000</v>
      </c>
      <c r="M45" s="648">
        <f>M46</f>
        <v>3600000</v>
      </c>
      <c r="N45" s="649">
        <f>M45-L45</f>
        <v>0</v>
      </c>
      <c r="O45" s="844">
        <f>N45/L45*100</f>
        <v>0</v>
      </c>
      <c r="P45" s="840"/>
      <c r="Q45" s="619"/>
      <c r="T45" s="619"/>
      <c r="U45" s="545"/>
      <c r="V45" s="545"/>
      <c r="W45" s="545"/>
      <c r="X45" s="545"/>
    </row>
    <row r="46" spans="1:24" s="620" customFormat="1" ht="18.75" customHeight="1" x14ac:dyDescent="0.15">
      <c r="A46" s="1087"/>
      <c r="B46" s="1072"/>
      <c r="C46" s="1072"/>
      <c r="D46" s="1072"/>
      <c r="E46" s="1072"/>
      <c r="F46" s="1072"/>
      <c r="G46" s="1072"/>
      <c r="H46" s="1079"/>
      <c r="I46" s="646"/>
      <c r="J46" s="570"/>
      <c r="K46" s="570" t="s">
        <v>240</v>
      </c>
      <c r="L46" s="571">
        <v>3600000</v>
      </c>
      <c r="M46" s="571">
        <f>'나. 세입세출(총괄)'!L47</f>
        <v>3600000</v>
      </c>
      <c r="N46" s="573">
        <f t="shared" si="8"/>
        <v>0</v>
      </c>
      <c r="O46" s="845">
        <f t="shared" si="6"/>
        <v>0</v>
      </c>
      <c r="P46" s="836"/>
      <c r="Q46" s="619"/>
      <c r="T46" s="619"/>
      <c r="U46" s="545"/>
      <c r="V46" s="545"/>
      <c r="W46" s="545"/>
      <c r="X46" s="545"/>
    </row>
    <row r="47" spans="1:24" s="620" customFormat="1" ht="16.5" customHeight="1" x14ac:dyDescent="0.15">
      <c r="A47" s="654" t="s">
        <v>299</v>
      </c>
      <c r="B47" s="1133" t="s">
        <v>255</v>
      </c>
      <c r="C47" s="1133"/>
      <c r="D47" s="100">
        <v>49598471</v>
      </c>
      <c r="E47" s="100">
        <f>E48</f>
        <v>49399730</v>
      </c>
      <c r="F47" s="100">
        <f>F48</f>
        <v>-198741</v>
      </c>
      <c r="G47" s="830">
        <f>F47/D47*100</f>
        <v>-0.40069985221923476</v>
      </c>
      <c r="H47" s="1077"/>
      <c r="I47" s="667" t="s">
        <v>241</v>
      </c>
      <c r="J47" s="593" t="s">
        <v>91</v>
      </c>
      <c r="K47" s="593"/>
      <c r="L47" s="588">
        <v>2088570</v>
      </c>
      <c r="M47" s="588">
        <f>M48</f>
        <v>1609200</v>
      </c>
      <c r="N47" s="588">
        <f t="shared" ref="N47:N55" si="11">M47-L47</f>
        <v>-479370</v>
      </c>
      <c r="O47" s="846">
        <f>N47/L47*100</f>
        <v>-22.952067682672833</v>
      </c>
      <c r="P47" s="599"/>
      <c r="Q47" s="619"/>
      <c r="T47" s="619"/>
      <c r="U47" s="545"/>
      <c r="V47" s="545"/>
      <c r="W47" s="545"/>
      <c r="X47" s="545"/>
    </row>
    <row r="48" spans="1:24" s="620" customFormat="1" ht="18.75" customHeight="1" x14ac:dyDescent="0.15">
      <c r="A48" s="642"/>
      <c r="B48" s="643" t="s">
        <v>299</v>
      </c>
      <c r="C48" s="643" t="s">
        <v>258</v>
      </c>
      <c r="D48" s="658">
        <v>49598471</v>
      </c>
      <c r="E48" s="658">
        <f>SUM(E49:E51)</f>
        <v>49399730</v>
      </c>
      <c r="F48" s="658">
        <f>SUM(F49:F51)</f>
        <v>-198741</v>
      </c>
      <c r="G48" s="828">
        <f>F48/D48*100</f>
        <v>-0.40069985221923476</v>
      </c>
      <c r="H48" s="1078"/>
      <c r="I48" s="646"/>
      <c r="J48" s="647" t="s">
        <v>241</v>
      </c>
      <c r="K48" s="647" t="s">
        <v>93</v>
      </c>
      <c r="L48" s="648">
        <v>2088570</v>
      </c>
      <c r="M48" s="648">
        <f>M49</f>
        <v>1609200</v>
      </c>
      <c r="N48" s="649">
        <f t="shared" si="11"/>
        <v>-479370</v>
      </c>
      <c r="O48" s="844">
        <f>N48/L48*100</f>
        <v>-22.952067682672833</v>
      </c>
      <c r="P48" s="840"/>
      <c r="Q48" s="619"/>
      <c r="T48" s="619"/>
      <c r="U48" s="545"/>
      <c r="V48" s="545"/>
      <c r="W48" s="545"/>
      <c r="X48" s="545"/>
    </row>
    <row r="49" spans="1:24" s="620" customFormat="1" ht="24" customHeight="1" x14ac:dyDescent="0.15">
      <c r="A49" s="642"/>
      <c r="B49" s="651"/>
      <c r="C49" s="651" t="s">
        <v>302</v>
      </c>
      <c r="D49" s="661">
        <v>500000</v>
      </c>
      <c r="E49" s="661">
        <f>'다. 세입내역서'!E49</f>
        <v>500000</v>
      </c>
      <c r="F49" s="652">
        <f>E49-D49</f>
        <v>0</v>
      </c>
      <c r="G49" s="653">
        <f>F49/D49*100</f>
        <v>0</v>
      </c>
      <c r="H49" s="1076"/>
      <c r="I49" s="646"/>
      <c r="J49" s="570"/>
      <c r="K49" s="570" t="s">
        <v>241</v>
      </c>
      <c r="L49" s="571">
        <v>2088570</v>
      </c>
      <c r="M49" s="571">
        <f>'나. 세입세출(총괄)'!L50</f>
        <v>1609200</v>
      </c>
      <c r="N49" s="573">
        <f t="shared" si="11"/>
        <v>-479370</v>
      </c>
      <c r="O49" s="845">
        <f t="shared" ref="O49" si="12">N49/L49*100</f>
        <v>-22.952067682672833</v>
      </c>
      <c r="P49" s="835" t="s">
        <v>1343</v>
      </c>
      <c r="Q49" s="619"/>
      <c r="T49" s="619"/>
      <c r="U49" s="545"/>
      <c r="V49" s="545"/>
      <c r="W49" s="545"/>
      <c r="X49" s="545"/>
    </row>
    <row r="50" spans="1:24" ht="18" customHeight="1" x14ac:dyDescent="0.15">
      <c r="A50" s="642"/>
      <c r="B50" s="651"/>
      <c r="C50" s="651" t="s">
        <v>304</v>
      </c>
      <c r="D50" s="661">
        <v>948471</v>
      </c>
      <c r="E50" s="661">
        <f>'다. 세입내역서'!E50</f>
        <v>749730</v>
      </c>
      <c r="F50" s="652">
        <f>E50-D50</f>
        <v>-198741</v>
      </c>
      <c r="G50" s="829">
        <f>F50/D50*100</f>
        <v>-20.953829900966923</v>
      </c>
      <c r="H50" s="1243" t="s">
        <v>1149</v>
      </c>
      <c r="I50" s="667" t="s">
        <v>134</v>
      </c>
      <c r="J50" s="593" t="s">
        <v>91</v>
      </c>
      <c r="K50" s="593"/>
      <c r="L50" s="588">
        <v>473364</v>
      </c>
      <c r="M50" s="588">
        <f>M51</f>
        <v>549730</v>
      </c>
      <c r="N50" s="588">
        <f t="shared" si="11"/>
        <v>76366</v>
      </c>
      <c r="O50" s="846">
        <f>N50/L50*100</f>
        <v>16.1326167600409</v>
      </c>
      <c r="P50" s="599"/>
    </row>
    <row r="51" spans="1:24" ht="22.5" customHeight="1" x14ac:dyDescent="0.15">
      <c r="A51" s="642"/>
      <c r="B51" s="651"/>
      <c r="C51" s="651" t="s">
        <v>305</v>
      </c>
      <c r="D51" s="661">
        <v>48150000</v>
      </c>
      <c r="E51" s="661">
        <f>'다. 세입내역서'!E51</f>
        <v>48150000</v>
      </c>
      <c r="F51" s="652">
        <f>E51-D51</f>
        <v>0</v>
      </c>
      <c r="G51" s="829">
        <f>F51/D51*100</f>
        <v>0</v>
      </c>
      <c r="H51" s="663"/>
      <c r="I51" s="646"/>
      <c r="J51" s="647" t="s">
        <v>134</v>
      </c>
      <c r="K51" s="647" t="s">
        <v>93</v>
      </c>
      <c r="L51" s="648">
        <v>473364</v>
      </c>
      <c r="M51" s="648">
        <f>M52</f>
        <v>549730</v>
      </c>
      <c r="N51" s="649">
        <f t="shared" si="11"/>
        <v>76366</v>
      </c>
      <c r="O51" s="844">
        <f>N51/L51*100</f>
        <v>16.1326167600409</v>
      </c>
      <c r="P51" s="840"/>
    </row>
    <row r="52" spans="1:24" ht="18" customHeight="1" x14ac:dyDescent="0.15">
      <c r="A52" s="1026"/>
      <c r="B52" s="1073"/>
      <c r="C52" s="1073"/>
      <c r="D52" s="669"/>
      <c r="E52" s="1074"/>
      <c r="F52" s="669"/>
      <c r="G52" s="669"/>
      <c r="H52" s="1055"/>
      <c r="I52" s="646"/>
      <c r="J52" s="570"/>
      <c r="K52" s="570" t="s">
        <v>134</v>
      </c>
      <c r="L52" s="571">
        <v>473364</v>
      </c>
      <c r="M52" s="571">
        <f>'나. 세입세출(총괄)'!L53</f>
        <v>549730</v>
      </c>
      <c r="N52" s="573">
        <f t="shared" si="11"/>
        <v>76366</v>
      </c>
      <c r="O52" s="845">
        <f t="shared" ref="O52" si="13">N52/L52*100</f>
        <v>16.1326167600409</v>
      </c>
      <c r="P52" s="839"/>
    </row>
    <row r="53" spans="1:24" ht="18" customHeight="1" x14ac:dyDescent="0.15">
      <c r="A53" s="642"/>
      <c r="B53" s="651"/>
      <c r="C53" s="651"/>
      <c r="D53" s="670"/>
      <c r="E53" s="670"/>
      <c r="F53" s="670"/>
      <c r="G53" s="653"/>
      <c r="H53" s="1076"/>
      <c r="I53" s="667" t="s">
        <v>135</v>
      </c>
      <c r="J53" s="593" t="s">
        <v>91</v>
      </c>
      <c r="K53" s="593"/>
      <c r="L53" s="588">
        <v>250616006</v>
      </c>
      <c r="M53" s="588">
        <f>M54</f>
        <v>50002900</v>
      </c>
      <c r="N53" s="588">
        <f t="shared" si="11"/>
        <v>-200613106</v>
      </c>
      <c r="O53" s="846">
        <f>N53/L53*100</f>
        <v>-80.048002201423643</v>
      </c>
      <c r="P53" s="599"/>
    </row>
    <row r="54" spans="1:24" ht="18" customHeight="1" x14ac:dyDescent="0.15">
      <c r="A54" s="642"/>
      <c r="B54" s="651"/>
      <c r="C54" s="651"/>
      <c r="D54" s="670"/>
      <c r="E54" s="670"/>
      <c r="F54" s="670"/>
      <c r="G54" s="653"/>
      <c r="H54" s="1086"/>
      <c r="I54" s="646"/>
      <c r="J54" s="647" t="s">
        <v>135</v>
      </c>
      <c r="K54" s="647" t="s">
        <v>93</v>
      </c>
      <c r="L54" s="648">
        <v>250616006</v>
      </c>
      <c r="M54" s="648">
        <f>M55</f>
        <v>50002900</v>
      </c>
      <c r="N54" s="649">
        <f t="shared" si="11"/>
        <v>-200613106</v>
      </c>
      <c r="O54" s="844">
        <f>N54/L54*100</f>
        <v>-80.048002201423643</v>
      </c>
      <c r="P54" s="840"/>
    </row>
    <row r="55" spans="1:24" ht="26.25" customHeight="1" x14ac:dyDescent="0.15">
      <c r="A55" s="671"/>
      <c r="B55" s="672"/>
      <c r="C55" s="672"/>
      <c r="D55" s="673"/>
      <c r="E55" s="674"/>
      <c r="F55" s="673"/>
      <c r="G55" s="675"/>
      <c r="H55" s="1088"/>
      <c r="I55" s="676"/>
      <c r="J55" s="677"/>
      <c r="K55" s="677" t="s">
        <v>242</v>
      </c>
      <c r="L55" s="678">
        <v>250616006</v>
      </c>
      <c r="M55" s="678">
        <f>'나. 세입세출(총괄)'!L56</f>
        <v>50002900</v>
      </c>
      <c r="N55" s="610">
        <f t="shared" si="11"/>
        <v>-200613106</v>
      </c>
      <c r="O55" s="1131">
        <f t="shared" ref="O55" si="14">N55/L55*100</f>
        <v>-80.048002201423643</v>
      </c>
      <c r="P55" s="842" t="s">
        <v>1354</v>
      </c>
    </row>
    <row r="56" spans="1:24" ht="12.95" customHeight="1" x14ac:dyDescent="0.15">
      <c r="A56" s="679"/>
      <c r="B56" s="679"/>
      <c r="C56" s="679"/>
      <c r="I56" s="681"/>
      <c r="J56" s="681"/>
      <c r="K56" s="682"/>
      <c r="L56" s="600"/>
      <c r="M56" s="600"/>
      <c r="N56" s="600"/>
      <c r="O56" s="600"/>
    </row>
    <row r="57" spans="1:24" ht="12.95" customHeight="1" x14ac:dyDescent="0.15">
      <c r="I57" s="683"/>
      <c r="J57" s="683"/>
      <c r="K57" s="684"/>
      <c r="L57" s="600"/>
      <c r="M57" s="600"/>
      <c r="N57" s="600"/>
      <c r="O57" s="600"/>
    </row>
    <row r="58" spans="1:24" ht="12.95" customHeight="1" x14ac:dyDescent="0.15">
      <c r="I58" s="683"/>
      <c r="J58" s="683"/>
      <c r="K58" s="684"/>
      <c r="L58" s="600"/>
      <c r="M58" s="600"/>
      <c r="N58" s="600"/>
      <c r="O58" s="600"/>
    </row>
    <row r="59" spans="1:24" ht="12.95" customHeight="1" x14ac:dyDescent="0.15">
      <c r="I59" s="685"/>
      <c r="J59" s="685"/>
      <c r="K59" s="686"/>
      <c r="L59" s="680"/>
      <c r="N59" s="680"/>
      <c r="O59" s="680"/>
    </row>
    <row r="60" spans="1:24" ht="12.95" customHeight="1" x14ac:dyDescent="0.15">
      <c r="I60" s="685"/>
      <c r="J60" s="685"/>
      <c r="K60" s="686"/>
      <c r="L60" s="680"/>
      <c r="N60" s="680"/>
      <c r="O60" s="680"/>
    </row>
  </sheetData>
  <mergeCells count="21">
    <mergeCell ref="A1:P1"/>
    <mergeCell ref="B7:C7"/>
    <mergeCell ref="B10:C10"/>
    <mergeCell ref="B13:C13"/>
    <mergeCell ref="A3:H3"/>
    <mergeCell ref="H4:H5"/>
    <mergeCell ref="P4:P5"/>
    <mergeCell ref="L4:L5"/>
    <mergeCell ref="M4:M5"/>
    <mergeCell ref="N4:N5"/>
    <mergeCell ref="O4:O5"/>
    <mergeCell ref="A6:C6"/>
    <mergeCell ref="I6:K6"/>
    <mergeCell ref="N2:O2"/>
    <mergeCell ref="I3:O3"/>
    <mergeCell ref="A4:C4"/>
    <mergeCell ref="D4:D5"/>
    <mergeCell ref="E4:E5"/>
    <mergeCell ref="F4:F5"/>
    <mergeCell ref="G4:G5"/>
    <mergeCell ref="I4:K4"/>
  </mergeCells>
  <phoneticPr fontId="5" type="noConversion"/>
  <printOptions horizontalCentered="1"/>
  <pageMargins left="0.13" right="0.13" top="0.33" bottom="0.13" header="0.2" footer="0.13"/>
  <pageSetup paperSize="9" scale="67" fitToHeight="0" orientation="landscape" horizontalDpi="4294967293" vertic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214"/>
  <sheetViews>
    <sheetView zoomScale="115" zoomScaleNormal="115" workbookViewId="0">
      <pane xSplit="7" ySplit="4" topLeftCell="H107" activePane="bottomRight" state="frozen"/>
      <selection pane="topRight" activeCell="H1" sqref="H1"/>
      <selection pane="bottomLeft" activeCell="A5" sqref="A5"/>
      <selection pane="bottomRight" activeCell="A107" sqref="A107:C107"/>
    </sheetView>
  </sheetViews>
  <sheetFormatPr defaultRowHeight="13.5" x14ac:dyDescent="0.15"/>
  <cols>
    <col min="1" max="1" width="4.625" customWidth="1"/>
    <col min="2" max="2" width="11.125" customWidth="1"/>
    <col min="3" max="3" width="8.25" style="1" customWidth="1"/>
    <col min="4" max="6" width="5.375" style="1" customWidth="1"/>
    <col min="7" max="7" width="6.25" customWidth="1"/>
    <col min="8" max="8" width="11.375" style="16" customWidth="1"/>
    <col min="9" max="9" width="17.25" customWidth="1"/>
    <col min="10" max="11" width="11.25" customWidth="1"/>
    <col min="12" max="12" width="11.125" style="1" customWidth="1"/>
    <col min="13" max="13" width="11.75" customWidth="1"/>
    <col min="14" max="15" width="11.75" style="1" customWidth="1"/>
    <col min="16" max="16" width="11.375" style="1" customWidth="1"/>
    <col min="17" max="17" width="11.75" customWidth="1"/>
    <col min="18" max="18" width="12.25" customWidth="1"/>
    <col min="19" max="19" width="11.375" style="1" customWidth="1"/>
    <col min="20" max="20" width="12" style="1" customWidth="1"/>
    <col min="21" max="24" width="10.625" style="1" customWidth="1"/>
    <col min="25" max="26" width="11.875" style="1" customWidth="1"/>
    <col min="27" max="27" width="12.875" style="1" customWidth="1"/>
    <col min="28" max="28" width="11.75" style="1" customWidth="1"/>
    <col min="29" max="29" width="10.625" style="1" customWidth="1"/>
    <col min="30" max="30" width="12.5" style="1" customWidth="1"/>
    <col min="31" max="31" width="8.25" customWidth="1"/>
  </cols>
  <sheetData>
    <row r="1" spans="1:31" ht="30" customHeight="1" x14ac:dyDescent="0.15">
      <c r="A1" s="1452" t="s">
        <v>64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  <c r="P1" s="1452"/>
      <c r="Q1" s="1452"/>
      <c r="R1" s="1452"/>
      <c r="S1" s="1452"/>
      <c r="T1" s="1452"/>
      <c r="U1" s="1452"/>
      <c r="V1" s="1452"/>
      <c r="W1" s="1452"/>
      <c r="X1" s="1452"/>
      <c r="Y1" s="1452"/>
      <c r="Z1" s="1452"/>
      <c r="AA1" s="1452"/>
      <c r="AB1" s="1452"/>
      <c r="AC1" s="1452"/>
      <c r="AD1" s="1452"/>
      <c r="AE1" s="1452"/>
    </row>
    <row r="2" spans="1:31" ht="16.5" customHeight="1" x14ac:dyDescent="0.15">
      <c r="A2" s="1453" t="s">
        <v>881</v>
      </c>
      <c r="B2" s="1454"/>
      <c r="C2" s="1454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25" customHeight="1" x14ac:dyDescent="0.15">
      <c r="A3" s="1446" t="s">
        <v>47</v>
      </c>
      <c r="B3" s="1446" t="s">
        <v>48</v>
      </c>
      <c r="C3" s="1446" t="s">
        <v>72</v>
      </c>
      <c r="D3" s="1446" t="s">
        <v>169</v>
      </c>
      <c r="E3" s="848"/>
      <c r="F3" s="848"/>
      <c r="G3" s="1446" t="s">
        <v>49</v>
      </c>
      <c r="H3" s="1444" t="s">
        <v>165</v>
      </c>
      <c r="I3" s="1444" t="s">
        <v>74</v>
      </c>
      <c r="J3" s="1448" t="s">
        <v>62</v>
      </c>
      <c r="K3" s="1449"/>
      <c r="L3" s="1449"/>
      <c r="M3" s="1449"/>
      <c r="N3" s="1449"/>
      <c r="O3" s="1449"/>
      <c r="P3" s="1449"/>
      <c r="Q3" s="1449"/>
      <c r="R3" s="1450"/>
      <c r="S3" s="1442" t="s">
        <v>53</v>
      </c>
      <c r="T3" s="1442" t="s">
        <v>160</v>
      </c>
      <c r="U3" s="1442" t="s">
        <v>161</v>
      </c>
      <c r="V3" s="1442" t="s">
        <v>164</v>
      </c>
      <c r="W3" s="1442" t="s">
        <v>162</v>
      </c>
      <c r="X3" s="1442" t="s">
        <v>163</v>
      </c>
      <c r="Y3" s="1442" t="s">
        <v>230</v>
      </c>
      <c r="Z3" s="1442" t="s">
        <v>170</v>
      </c>
      <c r="AA3" s="1444" t="s">
        <v>71</v>
      </c>
      <c r="AB3" s="1448" t="s">
        <v>68</v>
      </c>
      <c r="AC3" s="1449"/>
      <c r="AD3" s="1450"/>
      <c r="AE3" s="1444" t="s">
        <v>50</v>
      </c>
    </row>
    <row r="4" spans="1:31" s="1" customFormat="1" ht="30" customHeight="1" x14ac:dyDescent="0.15">
      <c r="A4" s="1447"/>
      <c r="B4" s="1447"/>
      <c r="C4" s="1447"/>
      <c r="D4" s="1447"/>
      <c r="E4" s="849"/>
      <c r="F4" s="849"/>
      <c r="G4" s="1447"/>
      <c r="H4" s="1445"/>
      <c r="I4" s="1445"/>
      <c r="J4" s="850" t="s">
        <v>441</v>
      </c>
      <c r="K4" s="850" t="s">
        <v>157</v>
      </c>
      <c r="L4" s="850" t="s">
        <v>168</v>
      </c>
      <c r="M4" s="850" t="s">
        <v>158</v>
      </c>
      <c r="N4" s="850" t="s">
        <v>1007</v>
      </c>
      <c r="O4" s="850" t="s">
        <v>1008</v>
      </c>
      <c r="P4" s="851" t="s">
        <v>159</v>
      </c>
      <c r="Q4" s="851" t="s">
        <v>231</v>
      </c>
      <c r="R4" s="850" t="s">
        <v>63</v>
      </c>
      <c r="S4" s="1443"/>
      <c r="T4" s="1443"/>
      <c r="U4" s="1443"/>
      <c r="V4" s="1443"/>
      <c r="W4" s="1443"/>
      <c r="X4" s="1443"/>
      <c r="Y4" s="1443"/>
      <c r="Z4" s="1443"/>
      <c r="AA4" s="1445"/>
      <c r="AB4" s="852" t="s">
        <v>228</v>
      </c>
      <c r="AC4" s="852" t="s">
        <v>229</v>
      </c>
      <c r="AD4" s="853" t="s">
        <v>69</v>
      </c>
      <c r="AE4" s="1445"/>
    </row>
    <row r="5" spans="1:31" ht="24.95" customHeight="1" x14ac:dyDescent="0.15">
      <c r="A5" s="1430">
        <v>1</v>
      </c>
      <c r="B5" s="1432" t="s">
        <v>153</v>
      </c>
      <c r="C5" s="1432" t="s">
        <v>154</v>
      </c>
      <c r="D5" s="1432">
        <v>6</v>
      </c>
      <c r="E5" s="1432">
        <f>F5+F6</f>
        <v>12</v>
      </c>
      <c r="F5" s="854">
        <v>5</v>
      </c>
      <c r="G5" s="855" t="s">
        <v>173</v>
      </c>
      <c r="H5" s="864">
        <v>4149000</v>
      </c>
      <c r="I5" s="865">
        <f>H5*F5</f>
        <v>20745000</v>
      </c>
      <c r="J5" s="866">
        <f>H5*60%</f>
        <v>2489400</v>
      </c>
      <c r="K5" s="867"/>
      <c r="L5" s="868">
        <f>ROUND(H5*1/209*1.5,-1)</f>
        <v>29780</v>
      </c>
      <c r="M5" s="869">
        <f>(L5*20)*F5</f>
        <v>2978000</v>
      </c>
      <c r="N5" s="869"/>
      <c r="O5" s="869"/>
      <c r="P5" s="869">
        <f>(L5*5)*F5</f>
        <v>744500</v>
      </c>
      <c r="Q5" s="869"/>
      <c r="R5" s="870">
        <f>SUM(J5,K5,M5,O5,P5)</f>
        <v>6211900</v>
      </c>
      <c r="S5" s="871">
        <f>ROUNDUP((I5+J5+K5+M5+O5+P5+Q5)*1/12,-1)</f>
        <v>2246410</v>
      </c>
      <c r="T5" s="871"/>
      <c r="U5" s="871">
        <f>ROUNDUP((I5+J5+K5+M5+O5+P5)*3.545%,-1)</f>
        <v>955630</v>
      </c>
      <c r="V5" s="871">
        <f>ROUNDUP(U5*12.81%,-1)</f>
        <v>122420</v>
      </c>
      <c r="W5" s="871"/>
      <c r="X5" s="871"/>
      <c r="Y5" s="869">
        <f>SUM(T5:X5)</f>
        <v>1078050</v>
      </c>
      <c r="Z5" s="872">
        <f>SUM(S5,Y5)</f>
        <v>3324460</v>
      </c>
      <c r="AA5" s="1434">
        <f>SUM(Z5,Z6,R5,R6,I5,I6)</f>
        <v>72292640</v>
      </c>
      <c r="AB5" s="873">
        <f>250000*12</f>
        <v>3000000</v>
      </c>
      <c r="AC5" s="873">
        <f>50000*12</f>
        <v>600000</v>
      </c>
      <c r="AD5" s="874">
        <f>AC5+AB5</f>
        <v>3600000</v>
      </c>
      <c r="AE5" s="1430"/>
    </row>
    <row r="6" spans="1:31" s="1" customFormat="1" ht="24.95" customHeight="1" x14ac:dyDescent="0.15">
      <c r="A6" s="1431"/>
      <c r="B6" s="1433"/>
      <c r="C6" s="1433"/>
      <c r="D6" s="1433"/>
      <c r="E6" s="1433"/>
      <c r="F6" s="859">
        <v>7</v>
      </c>
      <c r="G6" s="855">
        <f>G5+1</f>
        <v>17</v>
      </c>
      <c r="H6" s="864">
        <v>4223000</v>
      </c>
      <c r="I6" s="865">
        <f>H6*F6</f>
        <v>29561000</v>
      </c>
      <c r="J6" s="866">
        <f>H6*60%</f>
        <v>2533800</v>
      </c>
      <c r="K6" s="867"/>
      <c r="L6" s="875">
        <f>ROUND(H6*1/209*1.5,-1)</f>
        <v>30310</v>
      </c>
      <c r="M6" s="869">
        <f>(L6*20)*F6</f>
        <v>4243400</v>
      </c>
      <c r="N6" s="869"/>
      <c r="O6" s="869"/>
      <c r="P6" s="869">
        <f t="shared" ref="P6:P10" si="0">(L6*5)*F6</f>
        <v>1060850</v>
      </c>
      <c r="Q6" s="869"/>
      <c r="R6" s="870">
        <f t="shared" ref="R6:R69" si="1">SUM(J6,K6,M6,O6,P6)</f>
        <v>7838050</v>
      </c>
      <c r="S6" s="871">
        <f t="shared" ref="S6:S69" si="2">ROUNDUP((I6+J6+K6+M6+O6+P6+Q6)*1/12,-1)</f>
        <v>3116590</v>
      </c>
      <c r="T6" s="871"/>
      <c r="U6" s="871">
        <f t="shared" ref="U6:U11" si="3">ROUNDUP((I6+J6+K6+M6+O6+P6)*3.545%,-1)</f>
        <v>1325800</v>
      </c>
      <c r="V6" s="871">
        <f t="shared" ref="V6:V69" si="4">ROUNDUP(U6*12.81%,-1)</f>
        <v>169840</v>
      </c>
      <c r="W6" s="871"/>
      <c r="X6" s="871"/>
      <c r="Y6" s="869">
        <f>SUM(T6:X6)</f>
        <v>1495640</v>
      </c>
      <c r="Z6" s="872">
        <f>SUM(S6,Y6)</f>
        <v>4612230</v>
      </c>
      <c r="AA6" s="1435"/>
      <c r="AB6" s="876"/>
      <c r="AC6" s="876"/>
      <c r="AD6" s="877"/>
      <c r="AE6" s="1431"/>
    </row>
    <row r="7" spans="1:31" ht="24.95" customHeight="1" x14ac:dyDescent="0.15">
      <c r="A7" s="1430">
        <v>2</v>
      </c>
      <c r="B7" s="1432" t="s">
        <v>166</v>
      </c>
      <c r="C7" s="1432" t="s">
        <v>167</v>
      </c>
      <c r="D7" s="1432">
        <v>5</v>
      </c>
      <c r="E7" s="1432">
        <f>F7+F8</f>
        <v>12</v>
      </c>
      <c r="F7" s="854">
        <v>4</v>
      </c>
      <c r="G7" s="855" t="s">
        <v>1154</v>
      </c>
      <c r="H7" s="864">
        <v>4085000</v>
      </c>
      <c r="I7" s="865">
        <f t="shared" ref="I7:I42" si="5">H7*F7</f>
        <v>16340000</v>
      </c>
      <c r="J7" s="866">
        <f t="shared" ref="J7:J42" si="6">H7*60%</f>
        <v>2451000</v>
      </c>
      <c r="K7" s="867">
        <f>120000*12</f>
        <v>1440000</v>
      </c>
      <c r="L7" s="868">
        <f t="shared" ref="L7:L42" si="7">ROUND(H7*1/209*1.5,-1)</f>
        <v>29320</v>
      </c>
      <c r="M7" s="869">
        <f t="shared" ref="M7:M15" si="8">(L7*20)*F7</f>
        <v>2345600</v>
      </c>
      <c r="N7" s="869"/>
      <c r="O7" s="869"/>
      <c r="P7" s="869">
        <f t="shared" si="0"/>
        <v>586400</v>
      </c>
      <c r="Q7" s="869"/>
      <c r="R7" s="870">
        <f t="shared" si="1"/>
        <v>6823000</v>
      </c>
      <c r="S7" s="871">
        <f t="shared" si="2"/>
        <v>1930250</v>
      </c>
      <c r="T7" s="871">
        <f>ROUND((I7+J7+K7+M7+O7+P7)*4.5%,-1)</f>
        <v>1042340</v>
      </c>
      <c r="U7" s="871">
        <f t="shared" si="3"/>
        <v>821130</v>
      </c>
      <c r="V7" s="871">
        <f t="shared" si="4"/>
        <v>105190</v>
      </c>
      <c r="W7" s="871">
        <f>ROUND((I7+J7+K7+M7+O7+P7)*1.05%,-1)</f>
        <v>243210</v>
      </c>
      <c r="X7" s="871">
        <f>ROUND((I7+J7+K7+M7+O7+P7)*0.8%,-1)</f>
        <v>185300</v>
      </c>
      <c r="Y7" s="869">
        <f t="shared" ref="Y7:Y42" si="9">SUM(T7:X7)</f>
        <v>2397170</v>
      </c>
      <c r="Z7" s="872">
        <f t="shared" ref="Z7:Z42" si="10">SUM(S7,Y7)</f>
        <v>4327420</v>
      </c>
      <c r="AA7" s="1434">
        <f>SUM(Z7,Z8,R7,R8,I7,I8)</f>
        <v>76775450</v>
      </c>
      <c r="AB7" s="873">
        <f>250000*12</f>
        <v>3000000</v>
      </c>
      <c r="AC7" s="873">
        <f>50000*12</f>
        <v>600000</v>
      </c>
      <c r="AD7" s="874">
        <f>AC7+AB7</f>
        <v>3600000</v>
      </c>
      <c r="AE7" s="1430"/>
    </row>
    <row r="8" spans="1:31" s="1" customFormat="1" ht="24.95" customHeight="1" x14ac:dyDescent="0.15">
      <c r="A8" s="1431"/>
      <c r="B8" s="1433"/>
      <c r="C8" s="1433"/>
      <c r="D8" s="1433"/>
      <c r="E8" s="1433"/>
      <c r="F8" s="859">
        <v>8</v>
      </c>
      <c r="G8" s="855">
        <f>G7+1</f>
        <v>22</v>
      </c>
      <c r="H8" s="864">
        <v>4138000</v>
      </c>
      <c r="I8" s="865">
        <f t="shared" si="5"/>
        <v>33104000</v>
      </c>
      <c r="J8" s="866">
        <f t="shared" si="6"/>
        <v>2482800</v>
      </c>
      <c r="K8" s="867"/>
      <c r="L8" s="875">
        <f t="shared" si="7"/>
        <v>29700</v>
      </c>
      <c r="M8" s="869">
        <f t="shared" si="8"/>
        <v>4752000</v>
      </c>
      <c r="N8" s="869"/>
      <c r="O8" s="869"/>
      <c r="P8" s="869">
        <f t="shared" si="0"/>
        <v>1188000</v>
      </c>
      <c r="Q8" s="869"/>
      <c r="R8" s="870">
        <f t="shared" si="1"/>
        <v>8422800</v>
      </c>
      <c r="S8" s="871">
        <f t="shared" si="2"/>
        <v>3460570</v>
      </c>
      <c r="T8" s="871">
        <f t="shared" ref="T8:T71" si="11">ROUND((I8+J8+K8+M8+O8+P8)*4.5%,-1)</f>
        <v>1868710</v>
      </c>
      <c r="U8" s="871">
        <f t="shared" si="3"/>
        <v>1472130</v>
      </c>
      <c r="V8" s="871">
        <f t="shared" si="4"/>
        <v>188580</v>
      </c>
      <c r="W8" s="871">
        <f t="shared" ref="W8:W71" si="12">ROUND((I8+J8+K8+M8+O8+P8)*1.05%,-1)</f>
        <v>436030</v>
      </c>
      <c r="X8" s="871">
        <f t="shared" ref="X8:X71" si="13">ROUND((I8+J8+K8+M8+O8+P8)*0.8%,-1)</f>
        <v>332210</v>
      </c>
      <c r="Y8" s="869">
        <f t="shared" si="9"/>
        <v>4297660</v>
      </c>
      <c r="Z8" s="872">
        <f t="shared" si="10"/>
        <v>7758230</v>
      </c>
      <c r="AA8" s="1435"/>
      <c r="AB8" s="876"/>
      <c r="AC8" s="876"/>
      <c r="AD8" s="877"/>
      <c r="AE8" s="1431"/>
    </row>
    <row r="9" spans="1:31" ht="24.95" customHeight="1" x14ac:dyDescent="0.15">
      <c r="A9" s="1430">
        <v>3</v>
      </c>
      <c r="B9" s="1451" t="s">
        <v>171</v>
      </c>
      <c r="C9" s="1432" t="s">
        <v>172</v>
      </c>
      <c r="D9" s="1432">
        <v>7</v>
      </c>
      <c r="E9" s="1432">
        <f>F9+F10</f>
        <v>12</v>
      </c>
      <c r="F9" s="854">
        <v>6</v>
      </c>
      <c r="G9" s="855" t="s">
        <v>1155</v>
      </c>
      <c r="H9" s="864">
        <v>3608000</v>
      </c>
      <c r="I9" s="865">
        <f t="shared" si="5"/>
        <v>21648000</v>
      </c>
      <c r="J9" s="866">
        <f t="shared" si="6"/>
        <v>2164800</v>
      </c>
      <c r="K9" s="867">
        <f>40000*12</f>
        <v>480000</v>
      </c>
      <c r="L9" s="868">
        <f t="shared" si="7"/>
        <v>25890</v>
      </c>
      <c r="M9" s="869">
        <f t="shared" si="8"/>
        <v>3106800</v>
      </c>
      <c r="N9" s="869"/>
      <c r="O9" s="869"/>
      <c r="P9" s="869">
        <f t="shared" si="0"/>
        <v>776700</v>
      </c>
      <c r="Q9" s="869"/>
      <c r="R9" s="870">
        <f t="shared" si="1"/>
        <v>6528300</v>
      </c>
      <c r="S9" s="871">
        <f t="shared" si="2"/>
        <v>2348030</v>
      </c>
      <c r="T9" s="871">
        <f t="shared" si="11"/>
        <v>1267930</v>
      </c>
      <c r="U9" s="871">
        <f t="shared" si="3"/>
        <v>998850</v>
      </c>
      <c r="V9" s="871">
        <f t="shared" si="4"/>
        <v>127960</v>
      </c>
      <c r="W9" s="871">
        <f t="shared" si="12"/>
        <v>295850</v>
      </c>
      <c r="X9" s="871">
        <f t="shared" si="13"/>
        <v>225410</v>
      </c>
      <c r="Y9" s="869">
        <f t="shared" si="9"/>
        <v>2916000</v>
      </c>
      <c r="Z9" s="872">
        <f t="shared" si="10"/>
        <v>5264030</v>
      </c>
      <c r="AA9" s="1434">
        <f>SUM(Z9,Z10,R9,R10,I9,I10)</f>
        <v>66830470</v>
      </c>
      <c r="AB9" s="873">
        <f>250000*12</f>
        <v>3000000</v>
      </c>
      <c r="AC9" s="873">
        <f>50000*12</f>
        <v>600000</v>
      </c>
      <c r="AD9" s="874">
        <f>AC9+AB9</f>
        <v>3600000</v>
      </c>
      <c r="AE9" s="1430"/>
    </row>
    <row r="10" spans="1:31" s="1" customFormat="1" ht="24.95" customHeight="1" x14ac:dyDescent="0.15">
      <c r="A10" s="1431"/>
      <c r="B10" s="1433"/>
      <c r="C10" s="1433"/>
      <c r="D10" s="1433"/>
      <c r="E10" s="1433"/>
      <c r="F10" s="859">
        <v>6</v>
      </c>
      <c r="G10" s="855">
        <f>G9+1</f>
        <v>20</v>
      </c>
      <c r="H10" s="864">
        <v>3665000</v>
      </c>
      <c r="I10" s="865">
        <f t="shared" si="5"/>
        <v>21990000</v>
      </c>
      <c r="J10" s="866">
        <f t="shared" si="6"/>
        <v>2199000</v>
      </c>
      <c r="K10" s="867"/>
      <c r="L10" s="875">
        <f t="shared" si="7"/>
        <v>26300</v>
      </c>
      <c r="M10" s="869">
        <f t="shared" si="8"/>
        <v>3156000</v>
      </c>
      <c r="N10" s="869"/>
      <c r="O10" s="869"/>
      <c r="P10" s="869">
        <f t="shared" si="0"/>
        <v>789000</v>
      </c>
      <c r="Q10" s="869"/>
      <c r="R10" s="870">
        <f t="shared" si="1"/>
        <v>6144000</v>
      </c>
      <c r="S10" s="871">
        <f t="shared" si="2"/>
        <v>2344500</v>
      </c>
      <c r="T10" s="871">
        <f t="shared" si="11"/>
        <v>1266030</v>
      </c>
      <c r="U10" s="871">
        <f t="shared" si="3"/>
        <v>997360</v>
      </c>
      <c r="V10" s="871">
        <f t="shared" si="4"/>
        <v>127770</v>
      </c>
      <c r="W10" s="871">
        <f t="shared" si="12"/>
        <v>295410</v>
      </c>
      <c r="X10" s="871">
        <f t="shared" si="13"/>
        <v>225070</v>
      </c>
      <c r="Y10" s="869">
        <f t="shared" si="9"/>
        <v>2911640</v>
      </c>
      <c r="Z10" s="872">
        <f t="shared" si="10"/>
        <v>5256140</v>
      </c>
      <c r="AA10" s="1435"/>
      <c r="AB10" s="876"/>
      <c r="AC10" s="876"/>
      <c r="AD10" s="877"/>
      <c r="AE10" s="1431"/>
    </row>
    <row r="11" spans="1:31" ht="24.95" customHeight="1" x14ac:dyDescent="0.15">
      <c r="A11" s="1430">
        <v>4</v>
      </c>
      <c r="B11" s="1451" t="s">
        <v>176</v>
      </c>
      <c r="C11" s="1432" t="s">
        <v>177</v>
      </c>
      <c r="D11" s="1432">
        <v>4</v>
      </c>
      <c r="E11" s="1432">
        <f>F11+F12</f>
        <v>12</v>
      </c>
      <c r="F11" s="854">
        <v>3</v>
      </c>
      <c r="G11" s="855" t="s">
        <v>1156</v>
      </c>
      <c r="H11" s="864">
        <v>3940000</v>
      </c>
      <c r="I11" s="865">
        <f>H11*F11</f>
        <v>11820000</v>
      </c>
      <c r="J11" s="866">
        <f t="shared" si="6"/>
        <v>2364000</v>
      </c>
      <c r="K11" s="867">
        <f>40000*12</f>
        <v>480000</v>
      </c>
      <c r="L11" s="868">
        <f t="shared" si="7"/>
        <v>28280</v>
      </c>
      <c r="M11" s="869">
        <f>(L11*20)*F11</f>
        <v>1696800</v>
      </c>
      <c r="N11" s="869"/>
      <c r="O11" s="869"/>
      <c r="P11" s="869">
        <f t="shared" ref="P11:P30" si="14">(L11*5)*F11</f>
        <v>424200</v>
      </c>
      <c r="Q11" s="869"/>
      <c r="R11" s="870">
        <f t="shared" si="1"/>
        <v>4965000</v>
      </c>
      <c r="S11" s="871">
        <f t="shared" si="2"/>
        <v>1398750</v>
      </c>
      <c r="T11" s="871">
        <f t="shared" si="11"/>
        <v>755330</v>
      </c>
      <c r="U11" s="871">
        <f t="shared" si="3"/>
        <v>595030</v>
      </c>
      <c r="V11" s="871">
        <f t="shared" si="4"/>
        <v>76230</v>
      </c>
      <c r="W11" s="871">
        <f t="shared" si="12"/>
        <v>176240</v>
      </c>
      <c r="X11" s="871">
        <f t="shared" si="13"/>
        <v>134280</v>
      </c>
      <c r="Y11" s="869">
        <f t="shared" si="9"/>
        <v>1737110</v>
      </c>
      <c r="Z11" s="872">
        <f t="shared" si="10"/>
        <v>3135860</v>
      </c>
      <c r="AA11" s="1434">
        <f>SUM(Z11,Z12,R11,R12,I11,I12)</f>
        <v>72828620</v>
      </c>
      <c r="AB11" s="873">
        <f>250000*12</f>
        <v>3000000</v>
      </c>
      <c r="AC11" s="873">
        <f t="shared" ref="AC11:AC69" si="15">50000*12</f>
        <v>600000</v>
      </c>
      <c r="AD11" s="874">
        <f>AC11+AB11</f>
        <v>3600000</v>
      </c>
      <c r="AE11" s="1430"/>
    </row>
    <row r="12" spans="1:31" s="1" customFormat="1" ht="24.95" customHeight="1" x14ac:dyDescent="0.15">
      <c r="A12" s="1431"/>
      <c r="B12" s="1433"/>
      <c r="C12" s="1433"/>
      <c r="D12" s="1433"/>
      <c r="E12" s="1433"/>
      <c r="F12" s="859">
        <v>9</v>
      </c>
      <c r="G12" s="855">
        <f>G11+1</f>
        <v>27</v>
      </c>
      <c r="H12" s="864">
        <v>3975000</v>
      </c>
      <c r="I12" s="865">
        <f t="shared" si="5"/>
        <v>35775000</v>
      </c>
      <c r="J12" s="866">
        <f t="shared" si="6"/>
        <v>2385000</v>
      </c>
      <c r="K12" s="867"/>
      <c r="L12" s="875">
        <f t="shared" si="7"/>
        <v>28530</v>
      </c>
      <c r="M12" s="869">
        <f>(L12*20)*F12</f>
        <v>5135400</v>
      </c>
      <c r="N12" s="869"/>
      <c r="O12" s="869"/>
      <c r="P12" s="869">
        <f t="shared" si="14"/>
        <v>1283850</v>
      </c>
      <c r="Q12" s="869"/>
      <c r="R12" s="870">
        <f t="shared" si="1"/>
        <v>8804250</v>
      </c>
      <c r="S12" s="871">
        <f t="shared" si="2"/>
        <v>3714940</v>
      </c>
      <c r="T12" s="871">
        <f t="shared" si="11"/>
        <v>2006070</v>
      </c>
      <c r="U12" s="871">
        <f t="shared" ref="U12:U75" si="16">ROUNDUP((I12+J12+K12+M12+O12+P12)*3.545%,-1)</f>
        <v>1580340</v>
      </c>
      <c r="V12" s="871">
        <f t="shared" si="4"/>
        <v>202450</v>
      </c>
      <c r="W12" s="871">
        <f t="shared" si="12"/>
        <v>468080</v>
      </c>
      <c r="X12" s="871">
        <f t="shared" si="13"/>
        <v>356630</v>
      </c>
      <c r="Y12" s="869">
        <f t="shared" si="9"/>
        <v>4613570</v>
      </c>
      <c r="Z12" s="872">
        <f t="shared" si="10"/>
        <v>8328510</v>
      </c>
      <c r="AA12" s="1435"/>
      <c r="AB12" s="876"/>
      <c r="AC12" s="876"/>
      <c r="AD12" s="877"/>
      <c r="AE12" s="1431"/>
    </row>
    <row r="13" spans="1:31" ht="24.95" customHeight="1" x14ac:dyDescent="0.15">
      <c r="A13" s="1430">
        <v>5</v>
      </c>
      <c r="B13" s="1451" t="s">
        <v>185</v>
      </c>
      <c r="C13" s="1432" t="s">
        <v>186</v>
      </c>
      <c r="D13" s="1432">
        <v>11</v>
      </c>
      <c r="E13" s="1432">
        <f>F13+F14</f>
        <v>12</v>
      </c>
      <c r="F13" s="854">
        <v>11</v>
      </c>
      <c r="G13" s="855" t="s">
        <v>1157</v>
      </c>
      <c r="H13" s="864">
        <v>3051000</v>
      </c>
      <c r="I13" s="865">
        <f>H13*F13</f>
        <v>33561000</v>
      </c>
      <c r="J13" s="866">
        <f>(H13*60%)*2</f>
        <v>3661200</v>
      </c>
      <c r="K13" s="867">
        <f>40000*12</f>
        <v>480000</v>
      </c>
      <c r="L13" s="868">
        <f t="shared" si="7"/>
        <v>21900</v>
      </c>
      <c r="M13" s="869">
        <f t="shared" si="8"/>
        <v>4818000</v>
      </c>
      <c r="N13" s="869"/>
      <c r="O13" s="869"/>
      <c r="P13" s="869">
        <f t="shared" si="14"/>
        <v>1204500</v>
      </c>
      <c r="Q13" s="869"/>
      <c r="R13" s="870">
        <f t="shared" si="1"/>
        <v>10163700</v>
      </c>
      <c r="S13" s="871">
        <f t="shared" si="2"/>
        <v>3643730</v>
      </c>
      <c r="T13" s="871">
        <f t="shared" si="11"/>
        <v>1967610</v>
      </c>
      <c r="U13" s="871">
        <f t="shared" si="16"/>
        <v>1550050</v>
      </c>
      <c r="V13" s="871">
        <f t="shared" si="4"/>
        <v>198570</v>
      </c>
      <c r="W13" s="871">
        <f t="shared" si="12"/>
        <v>459110</v>
      </c>
      <c r="X13" s="871">
        <f t="shared" si="13"/>
        <v>349800</v>
      </c>
      <c r="Y13" s="869">
        <f t="shared" si="9"/>
        <v>4525140</v>
      </c>
      <c r="Z13" s="872">
        <f t="shared" si="10"/>
        <v>8168870</v>
      </c>
      <c r="AA13" s="1434">
        <f>SUM(Z13,Z14,R13,R14,I13,I14)</f>
        <v>56253980</v>
      </c>
      <c r="AB13" s="873">
        <f>250000*12</f>
        <v>3000000</v>
      </c>
      <c r="AC13" s="873">
        <f t="shared" si="15"/>
        <v>600000</v>
      </c>
      <c r="AD13" s="874">
        <f>AC13+AB13</f>
        <v>3600000</v>
      </c>
      <c r="AE13" s="1430"/>
    </row>
    <row r="14" spans="1:31" s="1" customFormat="1" ht="24.95" customHeight="1" x14ac:dyDescent="0.15">
      <c r="A14" s="1431"/>
      <c r="B14" s="1433"/>
      <c r="C14" s="1433"/>
      <c r="D14" s="1433"/>
      <c r="E14" s="1433"/>
      <c r="F14" s="859">
        <v>1</v>
      </c>
      <c r="G14" s="855">
        <f>G13+1</f>
        <v>16</v>
      </c>
      <c r="H14" s="864">
        <v>3115000</v>
      </c>
      <c r="I14" s="865">
        <f t="shared" si="5"/>
        <v>3115000</v>
      </c>
      <c r="J14" s="866"/>
      <c r="K14" s="867"/>
      <c r="L14" s="875">
        <f t="shared" si="7"/>
        <v>22360</v>
      </c>
      <c r="M14" s="869">
        <f t="shared" si="8"/>
        <v>447200</v>
      </c>
      <c r="N14" s="869"/>
      <c r="O14" s="869"/>
      <c r="P14" s="869">
        <f t="shared" si="14"/>
        <v>111800</v>
      </c>
      <c r="Q14" s="869"/>
      <c r="R14" s="870">
        <f t="shared" si="1"/>
        <v>559000</v>
      </c>
      <c r="S14" s="871">
        <f t="shared" si="2"/>
        <v>306170</v>
      </c>
      <c r="T14" s="871">
        <f t="shared" si="11"/>
        <v>165330</v>
      </c>
      <c r="U14" s="871">
        <f t="shared" si="16"/>
        <v>130250</v>
      </c>
      <c r="V14" s="871">
        <f t="shared" si="4"/>
        <v>16690</v>
      </c>
      <c r="W14" s="871">
        <f t="shared" si="12"/>
        <v>38580</v>
      </c>
      <c r="X14" s="871">
        <f t="shared" si="13"/>
        <v>29390</v>
      </c>
      <c r="Y14" s="869">
        <f t="shared" si="9"/>
        <v>380240</v>
      </c>
      <c r="Z14" s="872">
        <f t="shared" si="10"/>
        <v>686410</v>
      </c>
      <c r="AA14" s="1435"/>
      <c r="AB14" s="876"/>
      <c r="AC14" s="876"/>
      <c r="AD14" s="877"/>
      <c r="AE14" s="1431"/>
    </row>
    <row r="15" spans="1:31" s="1" customFormat="1" ht="24.95" customHeight="1" x14ac:dyDescent="0.15">
      <c r="A15" s="1430">
        <v>6</v>
      </c>
      <c r="B15" s="1451" t="s">
        <v>1183</v>
      </c>
      <c r="C15" s="1451" t="s">
        <v>1182</v>
      </c>
      <c r="D15" s="1432">
        <v>9</v>
      </c>
      <c r="E15" s="1432">
        <f>F15+F16</f>
        <v>12</v>
      </c>
      <c r="F15" s="854">
        <v>8</v>
      </c>
      <c r="G15" s="855" t="s">
        <v>1166</v>
      </c>
      <c r="H15" s="864">
        <v>3204000</v>
      </c>
      <c r="I15" s="865">
        <f t="shared" ref="I15:I21" si="17">H15*F15</f>
        <v>25632000</v>
      </c>
      <c r="J15" s="866">
        <f>H15*60%*1</f>
        <v>1922400</v>
      </c>
      <c r="K15" s="867">
        <f>140000*12</f>
        <v>1680000</v>
      </c>
      <c r="L15" s="868">
        <f t="shared" ref="L15:L20" si="18">ROUND(H15*1/209*1.5,-1)</f>
        <v>23000</v>
      </c>
      <c r="M15" s="869">
        <f t="shared" si="8"/>
        <v>3680000</v>
      </c>
      <c r="N15" s="869"/>
      <c r="O15" s="869"/>
      <c r="P15" s="869">
        <f t="shared" si="14"/>
        <v>920000</v>
      </c>
      <c r="Q15" s="869"/>
      <c r="R15" s="870">
        <f t="shared" si="1"/>
        <v>8202400</v>
      </c>
      <c r="S15" s="871">
        <f t="shared" si="2"/>
        <v>2819540</v>
      </c>
      <c r="T15" s="871">
        <f t="shared" si="11"/>
        <v>1522550</v>
      </c>
      <c r="U15" s="871">
        <f t="shared" si="16"/>
        <v>1199430</v>
      </c>
      <c r="V15" s="871">
        <f t="shared" si="4"/>
        <v>153650</v>
      </c>
      <c r="W15" s="871">
        <f t="shared" si="12"/>
        <v>355260</v>
      </c>
      <c r="X15" s="871">
        <f t="shared" si="13"/>
        <v>270680</v>
      </c>
      <c r="Y15" s="869">
        <f t="shared" ref="Y15:Y20" si="19">SUM(T15:X15)</f>
        <v>3501570</v>
      </c>
      <c r="Z15" s="872">
        <f t="shared" ref="Z15:Z20" si="20">SUM(S15,Y15)</f>
        <v>6321110</v>
      </c>
      <c r="AA15" s="1434">
        <f>SUM(Z15,Z16,R15,R16,I15,I16)</f>
        <v>60856110</v>
      </c>
      <c r="AB15" s="873">
        <f>250000*12</f>
        <v>3000000</v>
      </c>
      <c r="AC15" s="873">
        <f t="shared" si="15"/>
        <v>600000</v>
      </c>
      <c r="AD15" s="874">
        <f>AC15+AB15</f>
        <v>3600000</v>
      </c>
      <c r="AE15" s="1430"/>
    </row>
    <row r="16" spans="1:31" s="1" customFormat="1" ht="24.95" customHeight="1" x14ac:dyDescent="0.15">
      <c r="A16" s="1431"/>
      <c r="B16" s="1433"/>
      <c r="C16" s="1433"/>
      <c r="D16" s="1433"/>
      <c r="E16" s="1433"/>
      <c r="F16" s="859">
        <v>4</v>
      </c>
      <c r="G16" s="855">
        <f>G15+1</f>
        <v>14</v>
      </c>
      <c r="H16" s="864">
        <v>3280000</v>
      </c>
      <c r="I16" s="865">
        <f t="shared" si="17"/>
        <v>13120000</v>
      </c>
      <c r="J16" s="866">
        <f>H16*60%*1</f>
        <v>1968000</v>
      </c>
      <c r="K16" s="867"/>
      <c r="L16" s="875">
        <f t="shared" si="18"/>
        <v>23540</v>
      </c>
      <c r="M16" s="869">
        <f t="shared" ref="M16:M30" si="21">(L16*20)*F16</f>
        <v>1883200</v>
      </c>
      <c r="N16" s="869"/>
      <c r="O16" s="869"/>
      <c r="P16" s="869">
        <f t="shared" si="14"/>
        <v>470800</v>
      </c>
      <c r="Q16" s="869"/>
      <c r="R16" s="870">
        <f t="shared" si="1"/>
        <v>4322000</v>
      </c>
      <c r="S16" s="871">
        <f t="shared" si="2"/>
        <v>1453500</v>
      </c>
      <c r="T16" s="871">
        <f t="shared" si="11"/>
        <v>784890</v>
      </c>
      <c r="U16" s="871">
        <f t="shared" si="16"/>
        <v>618320</v>
      </c>
      <c r="V16" s="871">
        <f t="shared" si="4"/>
        <v>79210</v>
      </c>
      <c r="W16" s="871">
        <f t="shared" si="12"/>
        <v>183140</v>
      </c>
      <c r="X16" s="871">
        <f t="shared" si="13"/>
        <v>139540</v>
      </c>
      <c r="Y16" s="869">
        <f t="shared" si="19"/>
        <v>1805100</v>
      </c>
      <c r="Z16" s="872">
        <f t="shared" si="20"/>
        <v>3258600</v>
      </c>
      <c r="AA16" s="1435"/>
      <c r="AB16" s="876"/>
      <c r="AC16" s="876"/>
      <c r="AD16" s="877"/>
      <c r="AE16" s="1431"/>
    </row>
    <row r="17" spans="1:31" s="1" customFormat="1" ht="24.95" customHeight="1" x14ac:dyDescent="0.15">
      <c r="A17" s="1430">
        <v>7</v>
      </c>
      <c r="B17" s="1430" t="s">
        <v>178</v>
      </c>
      <c r="C17" s="1430" t="s">
        <v>179</v>
      </c>
      <c r="D17" s="1432">
        <v>4</v>
      </c>
      <c r="E17" s="1432">
        <f>F17+F18</f>
        <v>12</v>
      </c>
      <c r="F17" s="854">
        <f>D17-1</f>
        <v>3</v>
      </c>
      <c r="G17" s="855" t="s">
        <v>1159</v>
      </c>
      <c r="H17" s="878">
        <v>3280000</v>
      </c>
      <c r="I17" s="865">
        <f t="shared" si="17"/>
        <v>9840000</v>
      </c>
      <c r="J17" s="866">
        <f>H17*60%</f>
        <v>1968000</v>
      </c>
      <c r="K17" s="867">
        <f>60000*12</f>
        <v>720000</v>
      </c>
      <c r="L17" s="868">
        <f t="shared" si="18"/>
        <v>23540</v>
      </c>
      <c r="M17" s="869">
        <f t="shared" si="21"/>
        <v>1412400</v>
      </c>
      <c r="N17" s="869"/>
      <c r="O17" s="869"/>
      <c r="P17" s="869">
        <f t="shared" si="14"/>
        <v>353100</v>
      </c>
      <c r="Q17" s="869"/>
      <c r="R17" s="870">
        <f t="shared" si="1"/>
        <v>4453500</v>
      </c>
      <c r="S17" s="871">
        <f t="shared" si="2"/>
        <v>1191130</v>
      </c>
      <c r="T17" s="871">
        <f t="shared" si="11"/>
        <v>643210</v>
      </c>
      <c r="U17" s="871">
        <f t="shared" si="16"/>
        <v>506710</v>
      </c>
      <c r="V17" s="871">
        <f t="shared" si="4"/>
        <v>64910</v>
      </c>
      <c r="W17" s="871">
        <f t="shared" si="12"/>
        <v>150080</v>
      </c>
      <c r="X17" s="871">
        <f t="shared" si="13"/>
        <v>114350</v>
      </c>
      <c r="Y17" s="869">
        <f t="shared" si="19"/>
        <v>1479260</v>
      </c>
      <c r="Z17" s="872">
        <f t="shared" si="20"/>
        <v>2670390</v>
      </c>
      <c r="AA17" s="879">
        <f>SUM(Z17,Z18,R17,R18,I17,I18)</f>
        <v>61591230</v>
      </c>
      <c r="AB17" s="873">
        <f>250000*12</f>
        <v>3000000</v>
      </c>
      <c r="AC17" s="873">
        <f t="shared" si="15"/>
        <v>600000</v>
      </c>
      <c r="AD17" s="874">
        <f>AC17+AB17</f>
        <v>3600000</v>
      </c>
      <c r="AE17" s="1430"/>
    </row>
    <row r="18" spans="1:31" s="1" customFormat="1" ht="24.95" customHeight="1" x14ac:dyDescent="0.15">
      <c r="A18" s="1431"/>
      <c r="B18" s="1431"/>
      <c r="C18" s="1431"/>
      <c r="D18" s="1433"/>
      <c r="E18" s="1433"/>
      <c r="F18" s="859">
        <v>9</v>
      </c>
      <c r="G18" s="855">
        <f>G17+1</f>
        <v>15</v>
      </c>
      <c r="H18" s="878">
        <v>3353000</v>
      </c>
      <c r="I18" s="865">
        <f t="shared" si="17"/>
        <v>30177000</v>
      </c>
      <c r="J18" s="866">
        <f>H18*60%</f>
        <v>2011800</v>
      </c>
      <c r="K18" s="867"/>
      <c r="L18" s="875">
        <f t="shared" si="18"/>
        <v>24060</v>
      </c>
      <c r="M18" s="869">
        <f t="shared" si="21"/>
        <v>4330800</v>
      </c>
      <c r="N18" s="869"/>
      <c r="O18" s="869"/>
      <c r="P18" s="869">
        <f t="shared" si="14"/>
        <v>1082700</v>
      </c>
      <c r="Q18" s="869"/>
      <c r="R18" s="870">
        <f t="shared" si="1"/>
        <v>7425300</v>
      </c>
      <c r="S18" s="871">
        <f t="shared" si="2"/>
        <v>3133530</v>
      </c>
      <c r="T18" s="871">
        <f t="shared" si="11"/>
        <v>1692100</v>
      </c>
      <c r="U18" s="871">
        <f t="shared" si="16"/>
        <v>1333010</v>
      </c>
      <c r="V18" s="871">
        <f t="shared" si="4"/>
        <v>170760</v>
      </c>
      <c r="W18" s="871">
        <f t="shared" si="12"/>
        <v>394820</v>
      </c>
      <c r="X18" s="871">
        <f t="shared" si="13"/>
        <v>300820</v>
      </c>
      <c r="Y18" s="869">
        <f t="shared" si="19"/>
        <v>3891510</v>
      </c>
      <c r="Z18" s="872">
        <f t="shared" si="20"/>
        <v>7025040</v>
      </c>
      <c r="AA18" s="880"/>
      <c r="AB18" s="876"/>
      <c r="AC18" s="876"/>
      <c r="AD18" s="877"/>
      <c r="AE18" s="1431"/>
    </row>
    <row r="19" spans="1:31" s="1" customFormat="1" ht="24.95" customHeight="1" x14ac:dyDescent="0.15">
      <c r="A19" s="1430">
        <v>8</v>
      </c>
      <c r="B19" s="1430" t="s">
        <v>181</v>
      </c>
      <c r="C19" s="1430" t="s">
        <v>182</v>
      </c>
      <c r="D19" s="1432">
        <v>2</v>
      </c>
      <c r="E19" s="1432">
        <f>F19+F20</f>
        <v>12</v>
      </c>
      <c r="F19" s="854">
        <v>1</v>
      </c>
      <c r="G19" s="855" t="s">
        <v>1160</v>
      </c>
      <c r="H19" s="878">
        <v>2712000</v>
      </c>
      <c r="I19" s="865">
        <f t="shared" si="17"/>
        <v>2712000</v>
      </c>
      <c r="J19" s="866"/>
      <c r="K19" s="867">
        <f>40000*12</f>
        <v>480000</v>
      </c>
      <c r="L19" s="868">
        <f t="shared" si="18"/>
        <v>19460</v>
      </c>
      <c r="M19" s="869">
        <f t="shared" si="21"/>
        <v>389200</v>
      </c>
      <c r="N19" s="869"/>
      <c r="O19" s="869"/>
      <c r="P19" s="869">
        <f t="shared" si="14"/>
        <v>97300</v>
      </c>
      <c r="Q19" s="869"/>
      <c r="R19" s="870">
        <f t="shared" si="1"/>
        <v>966500</v>
      </c>
      <c r="S19" s="871">
        <f t="shared" si="2"/>
        <v>306550</v>
      </c>
      <c r="T19" s="871">
        <f t="shared" si="11"/>
        <v>165530</v>
      </c>
      <c r="U19" s="871">
        <f t="shared" si="16"/>
        <v>130410</v>
      </c>
      <c r="V19" s="871">
        <f t="shared" si="4"/>
        <v>16710</v>
      </c>
      <c r="W19" s="871">
        <f t="shared" si="12"/>
        <v>38620</v>
      </c>
      <c r="X19" s="871">
        <f t="shared" si="13"/>
        <v>29430</v>
      </c>
      <c r="Y19" s="869">
        <f t="shared" si="19"/>
        <v>380700</v>
      </c>
      <c r="Z19" s="872">
        <f t="shared" si="20"/>
        <v>687250</v>
      </c>
      <c r="AA19" s="879">
        <f>SUM(Z19,Z20,R19,R20,I19,I20)</f>
        <v>51938550</v>
      </c>
      <c r="AB19" s="873">
        <f>250000*12</f>
        <v>3000000</v>
      </c>
      <c r="AC19" s="873">
        <f t="shared" si="15"/>
        <v>600000</v>
      </c>
      <c r="AD19" s="874">
        <f>AC19+AB19</f>
        <v>3600000</v>
      </c>
      <c r="AE19" s="1430"/>
    </row>
    <row r="20" spans="1:31" s="1" customFormat="1" ht="24.95" customHeight="1" x14ac:dyDescent="0.15">
      <c r="A20" s="1431"/>
      <c r="B20" s="1431"/>
      <c r="C20" s="1431"/>
      <c r="D20" s="1433"/>
      <c r="E20" s="1433"/>
      <c r="F20" s="859">
        <v>11</v>
      </c>
      <c r="G20" s="855">
        <f>G19+1</f>
        <v>9</v>
      </c>
      <c r="H20" s="878">
        <v>2828000</v>
      </c>
      <c r="I20" s="865">
        <f t="shared" si="17"/>
        <v>31108000</v>
      </c>
      <c r="J20" s="866">
        <f>(H20*60%)*2</f>
        <v>3393600</v>
      </c>
      <c r="K20" s="867"/>
      <c r="L20" s="875">
        <f t="shared" si="18"/>
        <v>20300</v>
      </c>
      <c r="M20" s="869">
        <f t="shared" si="21"/>
        <v>4466000</v>
      </c>
      <c r="N20" s="869"/>
      <c r="O20" s="869"/>
      <c r="P20" s="869">
        <f t="shared" si="14"/>
        <v>1116500</v>
      </c>
      <c r="Q20" s="869"/>
      <c r="R20" s="870">
        <f t="shared" si="1"/>
        <v>8976100</v>
      </c>
      <c r="S20" s="871">
        <f t="shared" si="2"/>
        <v>3340350</v>
      </c>
      <c r="T20" s="871">
        <f t="shared" si="11"/>
        <v>1803780</v>
      </c>
      <c r="U20" s="871">
        <f t="shared" si="16"/>
        <v>1420990</v>
      </c>
      <c r="V20" s="871">
        <f t="shared" si="4"/>
        <v>182030</v>
      </c>
      <c r="W20" s="871">
        <f t="shared" si="12"/>
        <v>420880</v>
      </c>
      <c r="X20" s="871">
        <f t="shared" si="13"/>
        <v>320670</v>
      </c>
      <c r="Y20" s="869">
        <f t="shared" si="19"/>
        <v>4148350</v>
      </c>
      <c r="Z20" s="872">
        <f t="shared" si="20"/>
        <v>7488700</v>
      </c>
      <c r="AA20" s="880"/>
      <c r="AB20" s="876"/>
      <c r="AC20" s="876"/>
      <c r="AD20" s="877"/>
      <c r="AE20" s="1431"/>
    </row>
    <row r="21" spans="1:31" ht="24.95" customHeight="1" x14ac:dyDescent="0.15">
      <c r="A21" s="1430">
        <v>9</v>
      </c>
      <c r="B21" s="1430" t="s">
        <v>187</v>
      </c>
      <c r="C21" s="1430" t="s">
        <v>188</v>
      </c>
      <c r="D21" s="1432">
        <v>8</v>
      </c>
      <c r="E21" s="1432">
        <f>F21+F22</f>
        <v>12</v>
      </c>
      <c r="F21" s="854">
        <v>7</v>
      </c>
      <c r="G21" s="855" t="s">
        <v>189</v>
      </c>
      <c r="H21" s="878">
        <v>3353000</v>
      </c>
      <c r="I21" s="865">
        <f t="shared" si="17"/>
        <v>23471000</v>
      </c>
      <c r="J21" s="866">
        <f t="shared" si="6"/>
        <v>2011800</v>
      </c>
      <c r="K21" s="867">
        <f>40000*12</f>
        <v>480000</v>
      </c>
      <c r="L21" s="868">
        <f t="shared" si="7"/>
        <v>24060</v>
      </c>
      <c r="M21" s="869">
        <f t="shared" si="21"/>
        <v>3368400</v>
      </c>
      <c r="N21" s="869"/>
      <c r="O21" s="869"/>
      <c r="P21" s="869">
        <f t="shared" si="14"/>
        <v>842100</v>
      </c>
      <c r="Q21" s="869"/>
      <c r="R21" s="870">
        <f t="shared" si="1"/>
        <v>6702300</v>
      </c>
      <c r="S21" s="871">
        <f t="shared" si="2"/>
        <v>2514450</v>
      </c>
      <c r="T21" s="871">
        <f t="shared" si="11"/>
        <v>1357800</v>
      </c>
      <c r="U21" s="871">
        <f t="shared" si="16"/>
        <v>1069650</v>
      </c>
      <c r="V21" s="871">
        <f t="shared" si="4"/>
        <v>137030</v>
      </c>
      <c r="W21" s="871">
        <f t="shared" si="12"/>
        <v>316820</v>
      </c>
      <c r="X21" s="871">
        <f t="shared" si="13"/>
        <v>241390</v>
      </c>
      <c r="Y21" s="869">
        <f t="shared" si="9"/>
        <v>3122690</v>
      </c>
      <c r="Z21" s="872">
        <f t="shared" si="10"/>
        <v>5637140</v>
      </c>
      <c r="AA21" s="1434">
        <f>SUM(Z21,Z22,R21,R22,I21,I22)</f>
        <v>62197360</v>
      </c>
      <c r="AB21" s="873">
        <f>250000*12</f>
        <v>3000000</v>
      </c>
      <c r="AC21" s="873">
        <f t="shared" si="15"/>
        <v>600000</v>
      </c>
      <c r="AD21" s="874">
        <f>AC21+AB21</f>
        <v>3600000</v>
      </c>
      <c r="AE21" s="1430"/>
    </row>
    <row r="22" spans="1:31" s="1" customFormat="1" ht="24.95" customHeight="1" x14ac:dyDescent="0.15">
      <c r="A22" s="1431"/>
      <c r="B22" s="1431"/>
      <c r="C22" s="1431"/>
      <c r="D22" s="1433"/>
      <c r="E22" s="1433"/>
      <c r="F22" s="859">
        <v>5</v>
      </c>
      <c r="G22" s="855">
        <f>G21+1</f>
        <v>16</v>
      </c>
      <c r="H22" s="878">
        <v>3422000</v>
      </c>
      <c r="I22" s="865">
        <f t="shared" si="5"/>
        <v>17110000</v>
      </c>
      <c r="J22" s="866">
        <f t="shared" si="6"/>
        <v>2053200</v>
      </c>
      <c r="K22" s="867"/>
      <c r="L22" s="875">
        <f t="shared" si="7"/>
        <v>24560</v>
      </c>
      <c r="M22" s="869">
        <f t="shared" si="21"/>
        <v>2456000</v>
      </c>
      <c r="N22" s="869"/>
      <c r="O22" s="869"/>
      <c r="P22" s="869">
        <f t="shared" si="14"/>
        <v>614000</v>
      </c>
      <c r="Q22" s="869"/>
      <c r="R22" s="870">
        <f t="shared" si="1"/>
        <v>5123200</v>
      </c>
      <c r="S22" s="871">
        <f t="shared" si="2"/>
        <v>1852770</v>
      </c>
      <c r="T22" s="871">
        <f t="shared" si="11"/>
        <v>1000490</v>
      </c>
      <c r="U22" s="871">
        <f t="shared" si="16"/>
        <v>788170</v>
      </c>
      <c r="V22" s="871">
        <f t="shared" si="4"/>
        <v>100970</v>
      </c>
      <c r="W22" s="871">
        <f t="shared" si="12"/>
        <v>233450</v>
      </c>
      <c r="X22" s="871">
        <f t="shared" si="13"/>
        <v>177870</v>
      </c>
      <c r="Y22" s="869">
        <f t="shared" si="9"/>
        <v>2300950</v>
      </c>
      <c r="Z22" s="872">
        <f t="shared" si="10"/>
        <v>4153720</v>
      </c>
      <c r="AA22" s="1435"/>
      <c r="AB22" s="876"/>
      <c r="AC22" s="876"/>
      <c r="AD22" s="877"/>
      <c r="AE22" s="1431"/>
    </row>
    <row r="23" spans="1:31" ht="24.95" customHeight="1" x14ac:dyDescent="0.15">
      <c r="A23" s="1430">
        <v>10</v>
      </c>
      <c r="B23" s="1436" t="s">
        <v>174</v>
      </c>
      <c r="C23" s="1430" t="s">
        <v>175</v>
      </c>
      <c r="D23" s="1432">
        <v>10</v>
      </c>
      <c r="E23" s="1432">
        <f>F23+F24</f>
        <v>12</v>
      </c>
      <c r="F23" s="854">
        <v>9</v>
      </c>
      <c r="G23" s="855" t="s">
        <v>1161</v>
      </c>
      <c r="H23" s="878">
        <v>3552000</v>
      </c>
      <c r="I23" s="865">
        <f t="shared" si="5"/>
        <v>31968000</v>
      </c>
      <c r="J23" s="866">
        <f t="shared" si="6"/>
        <v>2131200</v>
      </c>
      <c r="K23" s="867">
        <f>40000*12</f>
        <v>480000</v>
      </c>
      <c r="L23" s="868">
        <f t="shared" si="7"/>
        <v>25490</v>
      </c>
      <c r="M23" s="869">
        <f t="shared" si="21"/>
        <v>4588200</v>
      </c>
      <c r="N23" s="869"/>
      <c r="O23" s="869"/>
      <c r="P23" s="869">
        <f t="shared" si="14"/>
        <v>1147050</v>
      </c>
      <c r="Q23" s="869"/>
      <c r="R23" s="870">
        <f t="shared" si="1"/>
        <v>8346450</v>
      </c>
      <c r="S23" s="871">
        <f t="shared" si="2"/>
        <v>3359540</v>
      </c>
      <c r="T23" s="871">
        <f t="shared" si="11"/>
        <v>1814150</v>
      </c>
      <c r="U23" s="871">
        <f t="shared" si="16"/>
        <v>1429150</v>
      </c>
      <c r="V23" s="871">
        <f t="shared" si="4"/>
        <v>183080</v>
      </c>
      <c r="W23" s="871">
        <f t="shared" si="12"/>
        <v>423300</v>
      </c>
      <c r="X23" s="871">
        <f t="shared" si="13"/>
        <v>322520</v>
      </c>
      <c r="Y23" s="869">
        <f t="shared" si="9"/>
        <v>4172200</v>
      </c>
      <c r="Z23" s="872">
        <f t="shared" si="10"/>
        <v>7531740</v>
      </c>
      <c r="AA23" s="1434">
        <f>SUM(Z23,Z24,R23,R24,I23,I24)</f>
        <v>65566140</v>
      </c>
      <c r="AB23" s="873">
        <f>250000*12</f>
        <v>3000000</v>
      </c>
      <c r="AC23" s="873">
        <f t="shared" si="15"/>
        <v>600000</v>
      </c>
      <c r="AD23" s="874">
        <f>AC23+AB23</f>
        <v>3600000</v>
      </c>
      <c r="AE23" s="1430"/>
    </row>
    <row r="24" spans="1:31" s="1" customFormat="1" ht="24.95" customHeight="1" x14ac:dyDescent="0.15">
      <c r="A24" s="1431"/>
      <c r="B24" s="1431"/>
      <c r="C24" s="1431"/>
      <c r="D24" s="1433"/>
      <c r="E24" s="1433"/>
      <c r="F24" s="859">
        <v>3</v>
      </c>
      <c r="G24" s="855">
        <f>G23+1</f>
        <v>19</v>
      </c>
      <c r="H24" s="878">
        <v>3608000</v>
      </c>
      <c r="I24" s="865">
        <f t="shared" si="5"/>
        <v>10824000</v>
      </c>
      <c r="J24" s="866">
        <f t="shared" si="6"/>
        <v>2164800</v>
      </c>
      <c r="K24" s="867"/>
      <c r="L24" s="875">
        <f t="shared" si="7"/>
        <v>25890</v>
      </c>
      <c r="M24" s="869">
        <f t="shared" si="21"/>
        <v>1553400</v>
      </c>
      <c r="N24" s="869"/>
      <c r="O24" s="869"/>
      <c r="P24" s="869">
        <f t="shared" si="14"/>
        <v>388350</v>
      </c>
      <c r="Q24" s="869"/>
      <c r="R24" s="870">
        <f t="shared" si="1"/>
        <v>4106550</v>
      </c>
      <c r="S24" s="871">
        <f t="shared" si="2"/>
        <v>1244220</v>
      </c>
      <c r="T24" s="871">
        <f t="shared" si="11"/>
        <v>671870</v>
      </c>
      <c r="U24" s="871">
        <f t="shared" si="16"/>
        <v>529290</v>
      </c>
      <c r="V24" s="871">
        <f t="shared" si="4"/>
        <v>67810</v>
      </c>
      <c r="W24" s="871">
        <f t="shared" si="12"/>
        <v>156770</v>
      </c>
      <c r="X24" s="871">
        <f t="shared" si="13"/>
        <v>119440</v>
      </c>
      <c r="Y24" s="869">
        <f t="shared" si="9"/>
        <v>1545180</v>
      </c>
      <c r="Z24" s="872">
        <f t="shared" si="10"/>
        <v>2789400</v>
      </c>
      <c r="AA24" s="1435"/>
      <c r="AB24" s="876"/>
      <c r="AC24" s="876"/>
      <c r="AD24" s="877"/>
      <c r="AE24" s="1431"/>
    </row>
    <row r="25" spans="1:31" ht="24.95" customHeight="1" x14ac:dyDescent="0.15">
      <c r="A25" s="1430">
        <v>11</v>
      </c>
      <c r="B25" s="1436" t="s">
        <v>185</v>
      </c>
      <c r="C25" s="1430" t="s">
        <v>190</v>
      </c>
      <c r="D25" s="1432">
        <v>8</v>
      </c>
      <c r="E25" s="1432">
        <f>F25+F26</f>
        <v>12</v>
      </c>
      <c r="F25" s="854">
        <v>7</v>
      </c>
      <c r="G25" s="855" t="s">
        <v>1159</v>
      </c>
      <c r="H25" s="878">
        <v>2984000</v>
      </c>
      <c r="I25" s="865">
        <f t="shared" si="5"/>
        <v>20888000</v>
      </c>
      <c r="J25" s="866">
        <f t="shared" si="6"/>
        <v>1790400</v>
      </c>
      <c r="K25" s="867">
        <f>60000*12</f>
        <v>720000</v>
      </c>
      <c r="L25" s="868">
        <f t="shared" si="7"/>
        <v>21420</v>
      </c>
      <c r="M25" s="869">
        <f t="shared" si="21"/>
        <v>2998800</v>
      </c>
      <c r="N25" s="869"/>
      <c r="O25" s="869"/>
      <c r="P25" s="869">
        <f t="shared" si="14"/>
        <v>749700</v>
      </c>
      <c r="Q25" s="869"/>
      <c r="R25" s="870">
        <f t="shared" si="1"/>
        <v>6258900</v>
      </c>
      <c r="S25" s="871">
        <f t="shared" si="2"/>
        <v>2262250</v>
      </c>
      <c r="T25" s="871">
        <f t="shared" si="11"/>
        <v>1221610</v>
      </c>
      <c r="U25" s="871">
        <f t="shared" si="16"/>
        <v>962360</v>
      </c>
      <c r="V25" s="871">
        <f t="shared" si="4"/>
        <v>123280</v>
      </c>
      <c r="W25" s="871">
        <f t="shared" si="12"/>
        <v>285040</v>
      </c>
      <c r="X25" s="871">
        <f t="shared" si="13"/>
        <v>217180</v>
      </c>
      <c r="Y25" s="869">
        <f t="shared" si="9"/>
        <v>2809470</v>
      </c>
      <c r="Z25" s="872">
        <f t="shared" si="10"/>
        <v>5071720</v>
      </c>
      <c r="AA25" s="1434">
        <f>SUM(Z25,Z26,R25,R26,I25,I26)</f>
        <v>55745160</v>
      </c>
      <c r="AB25" s="873">
        <f>250000*12</f>
        <v>3000000</v>
      </c>
      <c r="AC25" s="873">
        <f t="shared" si="15"/>
        <v>600000</v>
      </c>
      <c r="AD25" s="874">
        <f>AC25+AB25</f>
        <v>3600000</v>
      </c>
      <c r="AE25" s="1430"/>
    </row>
    <row r="26" spans="1:31" s="1" customFormat="1" ht="24.95" customHeight="1" x14ac:dyDescent="0.15">
      <c r="A26" s="1431"/>
      <c r="B26" s="1431"/>
      <c r="C26" s="1431"/>
      <c r="D26" s="1433"/>
      <c r="E26" s="1433"/>
      <c r="F26" s="859">
        <v>5</v>
      </c>
      <c r="G26" s="855">
        <f>G25+1</f>
        <v>15</v>
      </c>
      <c r="H26" s="878">
        <v>3051000</v>
      </c>
      <c r="I26" s="865">
        <f t="shared" si="5"/>
        <v>15255000</v>
      </c>
      <c r="J26" s="866">
        <f t="shared" si="6"/>
        <v>1830600</v>
      </c>
      <c r="K26" s="867"/>
      <c r="L26" s="875">
        <f t="shared" si="7"/>
        <v>21900</v>
      </c>
      <c r="M26" s="869">
        <f t="shared" si="21"/>
        <v>2190000</v>
      </c>
      <c r="N26" s="869"/>
      <c r="O26" s="869"/>
      <c r="P26" s="869">
        <f t="shared" si="14"/>
        <v>547500</v>
      </c>
      <c r="Q26" s="869"/>
      <c r="R26" s="870">
        <f t="shared" si="1"/>
        <v>4568100</v>
      </c>
      <c r="S26" s="871">
        <f t="shared" si="2"/>
        <v>1651930</v>
      </c>
      <c r="T26" s="871">
        <f t="shared" si="11"/>
        <v>892040</v>
      </c>
      <c r="U26" s="871">
        <f t="shared" si="16"/>
        <v>702730</v>
      </c>
      <c r="V26" s="871">
        <f t="shared" si="4"/>
        <v>90020</v>
      </c>
      <c r="W26" s="871">
        <f t="shared" si="12"/>
        <v>208140</v>
      </c>
      <c r="X26" s="871">
        <f t="shared" si="13"/>
        <v>158580</v>
      </c>
      <c r="Y26" s="869">
        <f t="shared" si="9"/>
        <v>2051510</v>
      </c>
      <c r="Z26" s="872">
        <f t="shared" si="10"/>
        <v>3703440</v>
      </c>
      <c r="AA26" s="1435"/>
      <c r="AB26" s="876"/>
      <c r="AC26" s="876"/>
      <c r="AD26" s="877"/>
      <c r="AE26" s="1431"/>
    </row>
    <row r="27" spans="1:31" ht="24.95" customHeight="1" x14ac:dyDescent="0.15">
      <c r="A27" s="1430">
        <v>12</v>
      </c>
      <c r="B27" s="1430" t="s">
        <v>191</v>
      </c>
      <c r="C27" s="1430" t="s">
        <v>192</v>
      </c>
      <c r="D27" s="1432">
        <v>4</v>
      </c>
      <c r="E27" s="1432">
        <f>F27+F28</f>
        <v>12</v>
      </c>
      <c r="F27" s="854">
        <v>3</v>
      </c>
      <c r="G27" s="855" t="s">
        <v>1162</v>
      </c>
      <c r="H27" s="878">
        <v>2851000</v>
      </c>
      <c r="I27" s="865">
        <f t="shared" si="5"/>
        <v>8553000</v>
      </c>
      <c r="J27" s="866">
        <f t="shared" si="6"/>
        <v>1710600</v>
      </c>
      <c r="K27" s="867"/>
      <c r="L27" s="868">
        <f t="shared" si="7"/>
        <v>20460</v>
      </c>
      <c r="M27" s="869">
        <f t="shared" si="21"/>
        <v>1227600</v>
      </c>
      <c r="N27" s="869"/>
      <c r="O27" s="869"/>
      <c r="P27" s="869">
        <f t="shared" si="14"/>
        <v>306900</v>
      </c>
      <c r="Q27" s="869"/>
      <c r="R27" s="870">
        <f t="shared" si="1"/>
        <v>3245100</v>
      </c>
      <c r="S27" s="871">
        <f t="shared" si="2"/>
        <v>983180</v>
      </c>
      <c r="T27" s="871">
        <f t="shared" si="11"/>
        <v>530910</v>
      </c>
      <c r="U27" s="871">
        <f t="shared" si="16"/>
        <v>418250</v>
      </c>
      <c r="V27" s="871">
        <f t="shared" si="4"/>
        <v>53580</v>
      </c>
      <c r="W27" s="871">
        <f t="shared" si="12"/>
        <v>123880</v>
      </c>
      <c r="X27" s="871">
        <f t="shared" si="13"/>
        <v>94380</v>
      </c>
      <c r="Y27" s="869">
        <f t="shared" si="9"/>
        <v>1221000</v>
      </c>
      <c r="Z27" s="872">
        <f t="shared" si="10"/>
        <v>2204180</v>
      </c>
      <c r="AA27" s="1434">
        <f>SUM(Z27,Z28,R27,R28,I27,I28)</f>
        <v>52761260</v>
      </c>
      <c r="AB27" s="873">
        <f>250000*12</f>
        <v>3000000</v>
      </c>
      <c r="AC27" s="873">
        <f t="shared" si="15"/>
        <v>600000</v>
      </c>
      <c r="AD27" s="874">
        <f>AC27+AB27</f>
        <v>3600000</v>
      </c>
      <c r="AE27" s="1430"/>
    </row>
    <row r="28" spans="1:31" s="1" customFormat="1" ht="24.95" customHeight="1" x14ac:dyDescent="0.15">
      <c r="A28" s="1431"/>
      <c r="B28" s="1431"/>
      <c r="C28" s="1431"/>
      <c r="D28" s="1433"/>
      <c r="E28" s="1433"/>
      <c r="F28" s="859">
        <v>9</v>
      </c>
      <c r="G28" s="855">
        <f>G27+1</f>
        <v>17</v>
      </c>
      <c r="H28" s="878">
        <v>2912000</v>
      </c>
      <c r="I28" s="865">
        <f t="shared" si="5"/>
        <v>26208000</v>
      </c>
      <c r="J28" s="866">
        <f t="shared" si="6"/>
        <v>1747200</v>
      </c>
      <c r="K28" s="867"/>
      <c r="L28" s="875">
        <f t="shared" si="7"/>
        <v>20900</v>
      </c>
      <c r="M28" s="869">
        <f t="shared" si="21"/>
        <v>3762000</v>
      </c>
      <c r="N28" s="869"/>
      <c r="O28" s="869"/>
      <c r="P28" s="869">
        <f t="shared" si="14"/>
        <v>940500</v>
      </c>
      <c r="Q28" s="869"/>
      <c r="R28" s="870">
        <f t="shared" si="1"/>
        <v>6449700</v>
      </c>
      <c r="S28" s="871">
        <f t="shared" si="2"/>
        <v>2721480</v>
      </c>
      <c r="T28" s="871">
        <f t="shared" si="11"/>
        <v>1469600</v>
      </c>
      <c r="U28" s="871">
        <f t="shared" si="16"/>
        <v>1157720</v>
      </c>
      <c r="V28" s="871">
        <f t="shared" si="4"/>
        <v>148310</v>
      </c>
      <c r="W28" s="871">
        <f t="shared" si="12"/>
        <v>342910</v>
      </c>
      <c r="X28" s="871">
        <f t="shared" si="13"/>
        <v>261260</v>
      </c>
      <c r="Y28" s="869">
        <f t="shared" si="9"/>
        <v>3379800</v>
      </c>
      <c r="Z28" s="872">
        <f t="shared" si="10"/>
        <v>6101280</v>
      </c>
      <c r="AA28" s="1435"/>
      <c r="AB28" s="876"/>
      <c r="AC28" s="876"/>
      <c r="AD28" s="877"/>
      <c r="AE28" s="1431"/>
    </row>
    <row r="29" spans="1:31" ht="24.95" customHeight="1" x14ac:dyDescent="0.15">
      <c r="A29" s="1430">
        <v>13</v>
      </c>
      <c r="B29" s="1436" t="s">
        <v>232</v>
      </c>
      <c r="C29" s="1430" t="s">
        <v>194</v>
      </c>
      <c r="D29" s="1432">
        <v>2</v>
      </c>
      <c r="E29" s="1432">
        <f>F29+F30</f>
        <v>12</v>
      </c>
      <c r="F29" s="854">
        <v>1</v>
      </c>
      <c r="G29" s="855" t="s">
        <v>189</v>
      </c>
      <c r="H29" s="878">
        <v>2789000</v>
      </c>
      <c r="I29" s="865">
        <f t="shared" si="5"/>
        <v>2789000</v>
      </c>
      <c r="J29" s="866"/>
      <c r="K29" s="867"/>
      <c r="L29" s="868">
        <f t="shared" si="7"/>
        <v>20020</v>
      </c>
      <c r="M29" s="869">
        <f t="shared" si="21"/>
        <v>400400</v>
      </c>
      <c r="N29" s="869"/>
      <c r="O29" s="869"/>
      <c r="P29" s="869">
        <f t="shared" si="14"/>
        <v>100100</v>
      </c>
      <c r="Q29" s="869"/>
      <c r="R29" s="870">
        <f t="shared" si="1"/>
        <v>500500</v>
      </c>
      <c r="S29" s="871">
        <f t="shared" si="2"/>
        <v>274130</v>
      </c>
      <c r="T29" s="871">
        <f t="shared" si="11"/>
        <v>148030</v>
      </c>
      <c r="U29" s="871">
        <f t="shared" si="16"/>
        <v>116620</v>
      </c>
      <c r="V29" s="871">
        <f t="shared" si="4"/>
        <v>14940</v>
      </c>
      <c r="W29" s="871">
        <f t="shared" si="12"/>
        <v>34540</v>
      </c>
      <c r="X29" s="871">
        <f t="shared" si="13"/>
        <v>26320</v>
      </c>
      <c r="Y29" s="869">
        <f t="shared" si="9"/>
        <v>340450</v>
      </c>
      <c r="Z29" s="872">
        <f t="shared" si="10"/>
        <v>614580</v>
      </c>
      <c r="AA29" s="1434">
        <f>SUM(Z29,Z30,R29,R30,I29,I30)</f>
        <v>51862130</v>
      </c>
      <c r="AB29" s="873">
        <f>250000*12</f>
        <v>3000000</v>
      </c>
      <c r="AC29" s="873">
        <f t="shared" si="15"/>
        <v>600000</v>
      </c>
      <c r="AD29" s="874">
        <f>AC29+AB29</f>
        <v>3600000</v>
      </c>
      <c r="AE29" s="1430"/>
    </row>
    <row r="30" spans="1:31" s="1" customFormat="1" ht="24.95" customHeight="1" x14ac:dyDescent="0.15">
      <c r="A30" s="1431"/>
      <c r="B30" s="1431"/>
      <c r="C30" s="1431"/>
      <c r="D30" s="1433"/>
      <c r="E30" s="1433"/>
      <c r="F30" s="859">
        <v>11</v>
      </c>
      <c r="G30" s="855">
        <f>G29+1</f>
        <v>16</v>
      </c>
      <c r="H30" s="878">
        <v>2851000</v>
      </c>
      <c r="I30" s="865">
        <f t="shared" si="5"/>
        <v>31361000</v>
      </c>
      <c r="J30" s="866">
        <f>(H30*60%)*2</f>
        <v>3421200</v>
      </c>
      <c r="K30" s="867"/>
      <c r="L30" s="875">
        <f t="shared" si="7"/>
        <v>20460</v>
      </c>
      <c r="M30" s="869">
        <f t="shared" si="21"/>
        <v>4501200</v>
      </c>
      <c r="N30" s="869"/>
      <c r="O30" s="869"/>
      <c r="P30" s="869">
        <f t="shared" si="14"/>
        <v>1125300</v>
      </c>
      <c r="Q30" s="869"/>
      <c r="R30" s="870">
        <f t="shared" si="1"/>
        <v>9047700</v>
      </c>
      <c r="S30" s="871">
        <f t="shared" si="2"/>
        <v>3367400</v>
      </c>
      <c r="T30" s="871">
        <f t="shared" si="11"/>
        <v>1818390</v>
      </c>
      <c r="U30" s="871">
        <f t="shared" si="16"/>
        <v>1432490</v>
      </c>
      <c r="V30" s="871">
        <f t="shared" si="4"/>
        <v>183510</v>
      </c>
      <c r="W30" s="871">
        <f t="shared" si="12"/>
        <v>424290</v>
      </c>
      <c r="X30" s="871">
        <f t="shared" si="13"/>
        <v>323270</v>
      </c>
      <c r="Y30" s="869">
        <f t="shared" si="9"/>
        <v>4181950</v>
      </c>
      <c r="Z30" s="872">
        <f t="shared" si="10"/>
        <v>7549350</v>
      </c>
      <c r="AA30" s="1435"/>
      <c r="AB30" s="876"/>
      <c r="AC30" s="876"/>
      <c r="AD30" s="877"/>
      <c r="AE30" s="1431"/>
    </row>
    <row r="31" spans="1:31" ht="24.95" customHeight="1" x14ac:dyDescent="0.15">
      <c r="A31" s="1430">
        <v>14</v>
      </c>
      <c r="B31" s="1430" t="s">
        <v>193</v>
      </c>
      <c r="C31" s="1430" t="s">
        <v>195</v>
      </c>
      <c r="D31" s="1432">
        <v>6</v>
      </c>
      <c r="E31" s="1432">
        <f>F31+F32</f>
        <v>12</v>
      </c>
      <c r="F31" s="854">
        <v>5</v>
      </c>
      <c r="G31" s="855" t="s">
        <v>1161</v>
      </c>
      <c r="H31" s="878">
        <v>2971000</v>
      </c>
      <c r="I31" s="865">
        <f t="shared" si="5"/>
        <v>14855000</v>
      </c>
      <c r="J31" s="866">
        <f t="shared" si="6"/>
        <v>1782600</v>
      </c>
      <c r="K31" s="867">
        <f>100000*12</f>
        <v>1200000</v>
      </c>
      <c r="L31" s="868">
        <f t="shared" si="7"/>
        <v>21320</v>
      </c>
      <c r="M31" s="869">
        <f t="shared" ref="M31:M36" si="22">(L31*40)*F31</f>
        <v>4264000</v>
      </c>
      <c r="N31" s="869"/>
      <c r="O31" s="869"/>
      <c r="P31" s="869"/>
      <c r="Q31" s="869"/>
      <c r="R31" s="870">
        <f t="shared" si="1"/>
        <v>7246600</v>
      </c>
      <c r="S31" s="871">
        <f t="shared" si="2"/>
        <v>1841800</v>
      </c>
      <c r="T31" s="871">
        <f t="shared" si="11"/>
        <v>994570</v>
      </c>
      <c r="U31" s="871">
        <f t="shared" si="16"/>
        <v>783510</v>
      </c>
      <c r="V31" s="871">
        <f t="shared" si="4"/>
        <v>100370</v>
      </c>
      <c r="W31" s="871">
        <f t="shared" si="12"/>
        <v>232070</v>
      </c>
      <c r="X31" s="871">
        <f t="shared" si="13"/>
        <v>176810</v>
      </c>
      <c r="Y31" s="869">
        <f t="shared" si="9"/>
        <v>2287330</v>
      </c>
      <c r="Z31" s="872">
        <f t="shared" si="10"/>
        <v>4129130</v>
      </c>
      <c r="AA31" s="1434">
        <f>SUM(Z31,Z32,R31,R32,I31,I32)</f>
        <v>63808470</v>
      </c>
      <c r="AB31" s="873">
        <f>250000*12</f>
        <v>3000000</v>
      </c>
      <c r="AC31" s="873">
        <f t="shared" si="15"/>
        <v>600000</v>
      </c>
      <c r="AD31" s="874">
        <f>AC31+AB31</f>
        <v>3600000</v>
      </c>
      <c r="AE31" s="1430"/>
    </row>
    <row r="32" spans="1:31" s="1" customFormat="1" ht="24.95" customHeight="1" x14ac:dyDescent="0.15">
      <c r="A32" s="1431"/>
      <c r="B32" s="1431"/>
      <c r="C32" s="1431"/>
      <c r="D32" s="1433"/>
      <c r="E32" s="1433"/>
      <c r="F32" s="859">
        <v>7</v>
      </c>
      <c r="G32" s="855">
        <f>G31+1</f>
        <v>19</v>
      </c>
      <c r="H32" s="878">
        <v>3024000</v>
      </c>
      <c r="I32" s="865">
        <f t="shared" si="5"/>
        <v>21168000</v>
      </c>
      <c r="J32" s="866">
        <f t="shared" si="6"/>
        <v>1814400</v>
      </c>
      <c r="K32" s="867"/>
      <c r="L32" s="875">
        <f t="shared" si="7"/>
        <v>21700</v>
      </c>
      <c r="M32" s="869">
        <f t="shared" si="22"/>
        <v>6076000</v>
      </c>
      <c r="N32" s="869">
        <v>120</v>
      </c>
      <c r="O32" s="869">
        <f>N32*L32</f>
        <v>2604000</v>
      </c>
      <c r="P32" s="869"/>
      <c r="Q32" s="869"/>
      <c r="R32" s="870">
        <f t="shared" si="1"/>
        <v>10494400</v>
      </c>
      <c r="S32" s="871">
        <f t="shared" si="2"/>
        <v>2638540</v>
      </c>
      <c r="T32" s="871">
        <f t="shared" si="11"/>
        <v>1424810</v>
      </c>
      <c r="U32" s="871">
        <f t="shared" si="16"/>
        <v>1122440</v>
      </c>
      <c r="V32" s="871">
        <f t="shared" si="4"/>
        <v>143790</v>
      </c>
      <c r="W32" s="871">
        <f t="shared" si="12"/>
        <v>332460</v>
      </c>
      <c r="X32" s="871">
        <f t="shared" si="13"/>
        <v>253300</v>
      </c>
      <c r="Y32" s="869">
        <f t="shared" si="9"/>
        <v>3276800</v>
      </c>
      <c r="Z32" s="872">
        <f t="shared" si="10"/>
        <v>5915340</v>
      </c>
      <c r="AA32" s="1435"/>
      <c r="AB32" s="876"/>
      <c r="AC32" s="876"/>
      <c r="AD32" s="877"/>
      <c r="AE32" s="1431"/>
    </row>
    <row r="33" spans="1:31" ht="24.95" customHeight="1" x14ac:dyDescent="0.15">
      <c r="A33" s="1430">
        <v>15</v>
      </c>
      <c r="B33" s="1430" t="s">
        <v>193</v>
      </c>
      <c r="C33" s="1430" t="s">
        <v>196</v>
      </c>
      <c r="D33" s="1432">
        <v>5</v>
      </c>
      <c r="E33" s="1432">
        <f>F33+F34</f>
        <v>12</v>
      </c>
      <c r="F33" s="854">
        <v>4</v>
      </c>
      <c r="G33" s="855" t="s">
        <v>1163</v>
      </c>
      <c r="H33" s="878">
        <v>2667000</v>
      </c>
      <c r="I33" s="865">
        <f t="shared" si="5"/>
        <v>10668000</v>
      </c>
      <c r="J33" s="866">
        <f t="shared" si="6"/>
        <v>1600200</v>
      </c>
      <c r="K33" s="867">
        <f>40000*12</f>
        <v>480000</v>
      </c>
      <c r="L33" s="868">
        <f t="shared" si="7"/>
        <v>19140</v>
      </c>
      <c r="M33" s="869">
        <f t="shared" si="22"/>
        <v>3062400</v>
      </c>
      <c r="N33" s="869"/>
      <c r="O33" s="869"/>
      <c r="P33" s="869"/>
      <c r="Q33" s="869"/>
      <c r="R33" s="870">
        <f t="shared" si="1"/>
        <v>5142600</v>
      </c>
      <c r="S33" s="871">
        <f t="shared" si="2"/>
        <v>1317550</v>
      </c>
      <c r="T33" s="871">
        <f t="shared" si="11"/>
        <v>711480</v>
      </c>
      <c r="U33" s="871">
        <f t="shared" si="16"/>
        <v>560490</v>
      </c>
      <c r="V33" s="871">
        <f t="shared" si="4"/>
        <v>71800</v>
      </c>
      <c r="W33" s="871">
        <f t="shared" si="12"/>
        <v>166010</v>
      </c>
      <c r="X33" s="871">
        <f t="shared" si="13"/>
        <v>126480</v>
      </c>
      <c r="Y33" s="869">
        <f t="shared" si="9"/>
        <v>1636260</v>
      </c>
      <c r="Z33" s="872">
        <f t="shared" si="10"/>
        <v>2953810</v>
      </c>
      <c r="AA33" s="1434">
        <f>SUM(Z33,Z34,R33,R34,I33,I34)</f>
        <v>56858620</v>
      </c>
      <c r="AB33" s="873">
        <f>250000*12</f>
        <v>3000000</v>
      </c>
      <c r="AC33" s="873">
        <f t="shared" si="15"/>
        <v>600000</v>
      </c>
      <c r="AD33" s="874">
        <f>AC33+AB33</f>
        <v>3600000</v>
      </c>
      <c r="AE33" s="1430"/>
    </row>
    <row r="34" spans="1:31" s="1" customFormat="1" ht="24.95" customHeight="1" x14ac:dyDescent="0.15">
      <c r="A34" s="1431"/>
      <c r="B34" s="1431"/>
      <c r="C34" s="1431"/>
      <c r="D34" s="1433"/>
      <c r="E34" s="1433"/>
      <c r="F34" s="859">
        <v>8</v>
      </c>
      <c r="G34" s="855">
        <f>G33+1</f>
        <v>14</v>
      </c>
      <c r="H34" s="864">
        <v>2730000</v>
      </c>
      <c r="I34" s="865">
        <f t="shared" si="5"/>
        <v>21840000</v>
      </c>
      <c r="J34" s="866">
        <f t="shared" si="6"/>
        <v>1638000</v>
      </c>
      <c r="K34" s="867"/>
      <c r="L34" s="875">
        <f t="shared" si="7"/>
        <v>19590</v>
      </c>
      <c r="M34" s="869">
        <f t="shared" si="22"/>
        <v>6268800</v>
      </c>
      <c r="N34" s="869">
        <v>120</v>
      </c>
      <c r="O34" s="869">
        <f t="shared" ref="O34" si="23">N34*L34</f>
        <v>2350800</v>
      </c>
      <c r="P34" s="869"/>
      <c r="Q34" s="869"/>
      <c r="R34" s="870">
        <f t="shared" si="1"/>
        <v>10257600</v>
      </c>
      <c r="S34" s="871">
        <f t="shared" si="2"/>
        <v>2674800</v>
      </c>
      <c r="T34" s="871">
        <f t="shared" si="11"/>
        <v>1444390</v>
      </c>
      <c r="U34" s="871">
        <f t="shared" si="16"/>
        <v>1137860</v>
      </c>
      <c r="V34" s="871">
        <f t="shared" si="4"/>
        <v>145760</v>
      </c>
      <c r="W34" s="871">
        <f t="shared" si="12"/>
        <v>337020</v>
      </c>
      <c r="X34" s="871">
        <f t="shared" si="13"/>
        <v>256780</v>
      </c>
      <c r="Y34" s="869">
        <f t="shared" si="9"/>
        <v>3321810</v>
      </c>
      <c r="Z34" s="872">
        <f t="shared" si="10"/>
        <v>5996610</v>
      </c>
      <c r="AA34" s="1435"/>
      <c r="AB34" s="876"/>
      <c r="AC34" s="876"/>
      <c r="AD34" s="877"/>
      <c r="AE34" s="1431"/>
    </row>
    <row r="35" spans="1:31" ht="24.95" customHeight="1" x14ac:dyDescent="0.15">
      <c r="A35" s="1430">
        <v>16</v>
      </c>
      <c r="B35" s="1430" t="s">
        <v>193</v>
      </c>
      <c r="C35" s="1430" t="s">
        <v>199</v>
      </c>
      <c r="D35" s="1432">
        <v>12</v>
      </c>
      <c r="E35" s="1432">
        <f>F35+F36</f>
        <v>12</v>
      </c>
      <c r="F35" s="854">
        <v>11</v>
      </c>
      <c r="G35" s="855" t="s">
        <v>1162</v>
      </c>
      <c r="H35" s="878">
        <v>2851000</v>
      </c>
      <c r="I35" s="865">
        <f t="shared" si="5"/>
        <v>31361000</v>
      </c>
      <c r="J35" s="866">
        <f t="shared" si="6"/>
        <v>1710600</v>
      </c>
      <c r="K35" s="867"/>
      <c r="L35" s="868">
        <f t="shared" si="7"/>
        <v>20460</v>
      </c>
      <c r="M35" s="869">
        <f t="shared" si="22"/>
        <v>9002400</v>
      </c>
      <c r="N35" s="869"/>
      <c r="O35" s="869"/>
      <c r="P35" s="869"/>
      <c r="Q35" s="869"/>
      <c r="R35" s="870">
        <f t="shared" si="1"/>
        <v>10713000</v>
      </c>
      <c r="S35" s="871">
        <f t="shared" si="2"/>
        <v>3506170</v>
      </c>
      <c r="T35" s="871">
        <f t="shared" si="11"/>
        <v>1893330</v>
      </c>
      <c r="U35" s="871">
        <f t="shared" si="16"/>
        <v>1491530</v>
      </c>
      <c r="V35" s="871">
        <f t="shared" si="4"/>
        <v>191070</v>
      </c>
      <c r="W35" s="871">
        <f t="shared" si="12"/>
        <v>441780</v>
      </c>
      <c r="X35" s="871">
        <f t="shared" si="13"/>
        <v>336590</v>
      </c>
      <c r="Y35" s="869">
        <f t="shared" si="9"/>
        <v>4354300</v>
      </c>
      <c r="Z35" s="872">
        <f t="shared" si="10"/>
        <v>7860470</v>
      </c>
      <c r="AA35" s="1434">
        <f>SUM(Z35,Z36,R35,R36,I35,I36)</f>
        <v>59432880</v>
      </c>
      <c r="AB35" s="873">
        <f>250000*12</f>
        <v>3000000</v>
      </c>
      <c r="AC35" s="873">
        <f t="shared" si="15"/>
        <v>600000</v>
      </c>
      <c r="AD35" s="874">
        <f>AC35+AB35</f>
        <v>3600000</v>
      </c>
      <c r="AE35" s="1430"/>
    </row>
    <row r="36" spans="1:31" s="1" customFormat="1" ht="24.95" customHeight="1" x14ac:dyDescent="0.15">
      <c r="A36" s="1431"/>
      <c r="B36" s="1431"/>
      <c r="C36" s="1431"/>
      <c r="D36" s="1433"/>
      <c r="E36" s="1433"/>
      <c r="F36" s="859">
        <v>1</v>
      </c>
      <c r="G36" s="855">
        <f>G35+1</f>
        <v>17</v>
      </c>
      <c r="H36" s="878">
        <v>2912000</v>
      </c>
      <c r="I36" s="865">
        <f t="shared" si="5"/>
        <v>2912000</v>
      </c>
      <c r="J36" s="866">
        <f t="shared" si="6"/>
        <v>1747200</v>
      </c>
      <c r="K36" s="867"/>
      <c r="L36" s="875">
        <f t="shared" si="7"/>
        <v>20900</v>
      </c>
      <c r="M36" s="869">
        <f t="shared" si="22"/>
        <v>836000</v>
      </c>
      <c r="N36" s="869">
        <v>120</v>
      </c>
      <c r="O36" s="869">
        <f t="shared" ref="O36" si="24">N36*L36</f>
        <v>2508000</v>
      </c>
      <c r="P36" s="869"/>
      <c r="Q36" s="869"/>
      <c r="R36" s="870">
        <f t="shared" si="1"/>
        <v>5091200</v>
      </c>
      <c r="S36" s="871">
        <f t="shared" si="2"/>
        <v>666940</v>
      </c>
      <c r="T36" s="871">
        <f t="shared" si="11"/>
        <v>360140</v>
      </c>
      <c r="U36" s="871">
        <f t="shared" si="16"/>
        <v>283720</v>
      </c>
      <c r="V36" s="871">
        <f t="shared" si="4"/>
        <v>36350</v>
      </c>
      <c r="W36" s="871">
        <f t="shared" si="12"/>
        <v>84030</v>
      </c>
      <c r="X36" s="871">
        <f t="shared" si="13"/>
        <v>64030</v>
      </c>
      <c r="Y36" s="869">
        <f t="shared" si="9"/>
        <v>828270</v>
      </c>
      <c r="Z36" s="872">
        <f t="shared" si="10"/>
        <v>1495210</v>
      </c>
      <c r="AA36" s="1435"/>
      <c r="AB36" s="876"/>
      <c r="AC36" s="876"/>
      <c r="AD36" s="877"/>
      <c r="AE36" s="1431"/>
    </row>
    <row r="37" spans="1:31" ht="24.95" customHeight="1" x14ac:dyDescent="0.15">
      <c r="A37" s="1430">
        <v>17</v>
      </c>
      <c r="B37" s="1436" t="s">
        <v>232</v>
      </c>
      <c r="C37" s="1430" t="s">
        <v>200</v>
      </c>
      <c r="D37" s="1432">
        <v>11</v>
      </c>
      <c r="E37" s="1432">
        <f>F37+F38</f>
        <v>12</v>
      </c>
      <c r="F37" s="854">
        <v>10</v>
      </c>
      <c r="G37" s="855" t="s">
        <v>1164</v>
      </c>
      <c r="H37" s="878">
        <v>2912000</v>
      </c>
      <c r="I37" s="865">
        <f t="shared" si="5"/>
        <v>29120000</v>
      </c>
      <c r="J37" s="866">
        <f>(H37*60%)*2</f>
        <v>3494400</v>
      </c>
      <c r="K37" s="867">
        <f>40000*12</f>
        <v>480000</v>
      </c>
      <c r="L37" s="868">
        <f t="shared" si="7"/>
        <v>20900</v>
      </c>
      <c r="M37" s="869">
        <f t="shared" ref="M37:M42" si="25">(L37*20)*F37</f>
        <v>4180000</v>
      </c>
      <c r="N37" s="869"/>
      <c r="O37" s="869"/>
      <c r="P37" s="869">
        <f t="shared" ref="P37:P48" si="26">(L37*5)*F37</f>
        <v>1045000</v>
      </c>
      <c r="Q37" s="869"/>
      <c r="R37" s="870">
        <f t="shared" si="1"/>
        <v>9199400</v>
      </c>
      <c r="S37" s="871">
        <f t="shared" si="2"/>
        <v>3193290</v>
      </c>
      <c r="T37" s="871">
        <f t="shared" si="11"/>
        <v>1724370</v>
      </c>
      <c r="U37" s="871">
        <f t="shared" si="16"/>
        <v>1358430</v>
      </c>
      <c r="V37" s="871">
        <f t="shared" si="4"/>
        <v>174020</v>
      </c>
      <c r="W37" s="871">
        <f t="shared" si="12"/>
        <v>402350</v>
      </c>
      <c r="X37" s="871">
        <f t="shared" si="13"/>
        <v>306560</v>
      </c>
      <c r="Y37" s="869">
        <f t="shared" si="9"/>
        <v>3965730</v>
      </c>
      <c r="Z37" s="872">
        <f t="shared" si="10"/>
        <v>7159020</v>
      </c>
      <c r="AA37" s="1434">
        <f>SUM(Z37,Z38,R37,R38,I37,I38)</f>
        <v>53795690</v>
      </c>
      <c r="AB37" s="873">
        <f>250000*12</f>
        <v>3000000</v>
      </c>
      <c r="AC37" s="873">
        <f t="shared" si="15"/>
        <v>600000</v>
      </c>
      <c r="AD37" s="874">
        <f>AC37+AB37</f>
        <v>3600000</v>
      </c>
      <c r="AE37" s="1430"/>
    </row>
    <row r="38" spans="1:31" s="1" customFormat="1" ht="24.95" customHeight="1" x14ac:dyDescent="0.15">
      <c r="A38" s="1431"/>
      <c r="B38" s="1431"/>
      <c r="C38" s="1431"/>
      <c r="D38" s="1433"/>
      <c r="E38" s="1433"/>
      <c r="F38" s="859">
        <v>2</v>
      </c>
      <c r="G38" s="855">
        <f>G37+1</f>
        <v>18</v>
      </c>
      <c r="H38" s="878">
        <v>2971000</v>
      </c>
      <c r="I38" s="865">
        <f t="shared" si="5"/>
        <v>5942000</v>
      </c>
      <c r="J38" s="866"/>
      <c r="K38" s="867"/>
      <c r="L38" s="875">
        <f t="shared" si="7"/>
        <v>21320</v>
      </c>
      <c r="M38" s="869">
        <f t="shared" si="25"/>
        <v>852800</v>
      </c>
      <c r="N38" s="869"/>
      <c r="O38" s="869">
        <f t="shared" ref="O38" si="27">N38*L38</f>
        <v>0</v>
      </c>
      <c r="P38" s="869">
        <f t="shared" si="26"/>
        <v>213200</v>
      </c>
      <c r="Q38" s="869"/>
      <c r="R38" s="870">
        <f t="shared" si="1"/>
        <v>1066000</v>
      </c>
      <c r="S38" s="871">
        <f t="shared" si="2"/>
        <v>584000</v>
      </c>
      <c r="T38" s="871">
        <f t="shared" si="11"/>
        <v>315360</v>
      </c>
      <c r="U38" s="871">
        <f t="shared" si="16"/>
        <v>248440</v>
      </c>
      <c r="V38" s="871">
        <f t="shared" si="4"/>
        <v>31830</v>
      </c>
      <c r="W38" s="871">
        <f t="shared" si="12"/>
        <v>73580</v>
      </c>
      <c r="X38" s="871">
        <f t="shared" si="13"/>
        <v>56060</v>
      </c>
      <c r="Y38" s="869">
        <f t="shared" si="9"/>
        <v>725270</v>
      </c>
      <c r="Z38" s="872">
        <f t="shared" si="10"/>
        <v>1309270</v>
      </c>
      <c r="AA38" s="1435"/>
      <c r="AB38" s="876"/>
      <c r="AC38" s="876"/>
      <c r="AD38" s="877"/>
      <c r="AE38" s="1431"/>
    </row>
    <row r="39" spans="1:31" s="1" customFormat="1" ht="24.95" customHeight="1" x14ac:dyDescent="0.15">
      <c r="A39" s="1430">
        <v>18</v>
      </c>
      <c r="B39" s="1436" t="s">
        <v>232</v>
      </c>
      <c r="C39" s="1430" t="s">
        <v>201</v>
      </c>
      <c r="D39" s="1432">
        <v>5</v>
      </c>
      <c r="E39" s="1432">
        <f>F39+F40</f>
        <v>12</v>
      </c>
      <c r="F39" s="854">
        <v>4</v>
      </c>
      <c r="G39" s="855" t="s">
        <v>156</v>
      </c>
      <c r="H39" s="878">
        <v>2730000</v>
      </c>
      <c r="I39" s="865">
        <f t="shared" si="5"/>
        <v>10920000</v>
      </c>
      <c r="J39" s="866">
        <f t="shared" si="6"/>
        <v>1638000</v>
      </c>
      <c r="K39" s="867">
        <f>120000*12</f>
        <v>1440000</v>
      </c>
      <c r="L39" s="868">
        <f t="shared" si="7"/>
        <v>19590</v>
      </c>
      <c r="M39" s="869">
        <f t="shared" si="25"/>
        <v>1567200</v>
      </c>
      <c r="N39" s="869"/>
      <c r="O39" s="869"/>
      <c r="P39" s="869">
        <f t="shared" si="26"/>
        <v>391800</v>
      </c>
      <c r="Q39" s="869"/>
      <c r="R39" s="870">
        <f t="shared" si="1"/>
        <v>5037000</v>
      </c>
      <c r="S39" s="871">
        <f t="shared" si="2"/>
        <v>1329750</v>
      </c>
      <c r="T39" s="871">
        <f t="shared" si="11"/>
        <v>718070</v>
      </c>
      <c r="U39" s="871">
        <f t="shared" si="16"/>
        <v>565680</v>
      </c>
      <c r="V39" s="871">
        <f t="shared" si="4"/>
        <v>72470</v>
      </c>
      <c r="W39" s="871">
        <f t="shared" si="12"/>
        <v>167550</v>
      </c>
      <c r="X39" s="871">
        <f t="shared" si="13"/>
        <v>127660</v>
      </c>
      <c r="Y39" s="869">
        <f t="shared" si="9"/>
        <v>1651430</v>
      </c>
      <c r="Z39" s="872">
        <f t="shared" si="10"/>
        <v>2981180</v>
      </c>
      <c r="AA39" s="1434">
        <f>SUM(Z39,Z40,R39,R40,I39,I40)</f>
        <v>52156700</v>
      </c>
      <c r="AB39" s="873">
        <f>250000*12</f>
        <v>3000000</v>
      </c>
      <c r="AC39" s="873">
        <f t="shared" si="15"/>
        <v>600000</v>
      </c>
      <c r="AD39" s="874">
        <f>AC39+AB39</f>
        <v>3600000</v>
      </c>
      <c r="AE39" s="1430"/>
    </row>
    <row r="40" spans="1:31" s="1" customFormat="1" ht="24.95" customHeight="1" x14ac:dyDescent="0.15">
      <c r="A40" s="1431"/>
      <c r="B40" s="1431"/>
      <c r="C40" s="1431"/>
      <c r="D40" s="1433"/>
      <c r="E40" s="1433"/>
      <c r="F40" s="859">
        <v>8</v>
      </c>
      <c r="G40" s="855">
        <f>G39+1</f>
        <v>15</v>
      </c>
      <c r="H40" s="878">
        <v>2789000</v>
      </c>
      <c r="I40" s="865">
        <f t="shared" si="5"/>
        <v>22312000</v>
      </c>
      <c r="J40" s="866">
        <f t="shared" si="6"/>
        <v>1673400</v>
      </c>
      <c r="K40" s="867"/>
      <c r="L40" s="875">
        <f t="shared" si="7"/>
        <v>20020</v>
      </c>
      <c r="M40" s="869">
        <f t="shared" si="25"/>
        <v>3203200</v>
      </c>
      <c r="N40" s="869"/>
      <c r="O40" s="869">
        <f t="shared" ref="O40" si="28">N40*L40</f>
        <v>0</v>
      </c>
      <c r="P40" s="869">
        <f t="shared" si="26"/>
        <v>800800</v>
      </c>
      <c r="Q40" s="869"/>
      <c r="R40" s="870">
        <f t="shared" si="1"/>
        <v>5677400</v>
      </c>
      <c r="S40" s="871">
        <f t="shared" si="2"/>
        <v>2332450</v>
      </c>
      <c r="T40" s="871">
        <f t="shared" si="11"/>
        <v>1259520</v>
      </c>
      <c r="U40" s="871">
        <f t="shared" si="16"/>
        <v>992230</v>
      </c>
      <c r="V40" s="871">
        <f t="shared" si="4"/>
        <v>127110</v>
      </c>
      <c r="W40" s="871">
        <f t="shared" si="12"/>
        <v>293890</v>
      </c>
      <c r="X40" s="871">
        <f t="shared" si="13"/>
        <v>223920</v>
      </c>
      <c r="Y40" s="869">
        <f t="shared" si="9"/>
        <v>2896670</v>
      </c>
      <c r="Z40" s="872">
        <f t="shared" si="10"/>
        <v>5229120</v>
      </c>
      <c r="AA40" s="1435"/>
      <c r="AB40" s="876"/>
      <c r="AC40" s="876"/>
      <c r="AD40" s="877"/>
      <c r="AE40" s="1431"/>
    </row>
    <row r="41" spans="1:31" s="1" customFormat="1" ht="24.95" customHeight="1" x14ac:dyDescent="0.15">
      <c r="A41" s="1430">
        <v>19</v>
      </c>
      <c r="B41" s="1436" t="s">
        <v>232</v>
      </c>
      <c r="C41" s="1430" t="s">
        <v>202</v>
      </c>
      <c r="D41" s="1432">
        <v>4</v>
      </c>
      <c r="E41" s="1432">
        <f>F41+F42</f>
        <v>12</v>
      </c>
      <c r="F41" s="854">
        <v>3</v>
      </c>
      <c r="G41" s="855" t="s">
        <v>1165</v>
      </c>
      <c r="H41" s="878">
        <v>2616000</v>
      </c>
      <c r="I41" s="865">
        <f t="shared" si="5"/>
        <v>7848000</v>
      </c>
      <c r="J41" s="866">
        <f t="shared" si="6"/>
        <v>1569600</v>
      </c>
      <c r="K41" s="867">
        <f>40000*12</f>
        <v>480000</v>
      </c>
      <c r="L41" s="868">
        <f t="shared" si="7"/>
        <v>18780</v>
      </c>
      <c r="M41" s="869">
        <f t="shared" si="25"/>
        <v>1126800</v>
      </c>
      <c r="N41" s="869"/>
      <c r="O41" s="869"/>
      <c r="P41" s="869">
        <f t="shared" si="26"/>
        <v>281700</v>
      </c>
      <c r="Q41" s="869"/>
      <c r="R41" s="870">
        <f t="shared" si="1"/>
        <v>3458100</v>
      </c>
      <c r="S41" s="871">
        <f t="shared" si="2"/>
        <v>942180</v>
      </c>
      <c r="T41" s="871">
        <f t="shared" si="11"/>
        <v>508770</v>
      </c>
      <c r="U41" s="871">
        <f t="shared" si="16"/>
        <v>400810</v>
      </c>
      <c r="V41" s="871">
        <f t="shared" si="4"/>
        <v>51350</v>
      </c>
      <c r="W41" s="871">
        <f t="shared" si="12"/>
        <v>118710</v>
      </c>
      <c r="X41" s="871">
        <f t="shared" si="13"/>
        <v>90450</v>
      </c>
      <c r="Y41" s="869">
        <f t="shared" si="9"/>
        <v>1170090</v>
      </c>
      <c r="Z41" s="872">
        <f t="shared" si="10"/>
        <v>2112270</v>
      </c>
      <c r="AA41" s="1434">
        <f>SUM(Z41,Z42,R41,R42,I41,I42)</f>
        <v>48915950</v>
      </c>
      <c r="AB41" s="873">
        <f>250000*12</f>
        <v>3000000</v>
      </c>
      <c r="AC41" s="873">
        <f t="shared" si="15"/>
        <v>600000</v>
      </c>
      <c r="AD41" s="874">
        <f>AC41+AB41</f>
        <v>3600000</v>
      </c>
      <c r="AE41" s="1430"/>
    </row>
    <row r="42" spans="1:31" s="1" customFormat="1" ht="24.95" customHeight="1" x14ac:dyDescent="0.15">
      <c r="A42" s="1431"/>
      <c r="B42" s="1431"/>
      <c r="C42" s="1431"/>
      <c r="D42" s="1433"/>
      <c r="E42" s="1433"/>
      <c r="F42" s="859">
        <v>9</v>
      </c>
      <c r="G42" s="855">
        <f>G41+1</f>
        <v>13</v>
      </c>
      <c r="H42" s="878">
        <v>2667000</v>
      </c>
      <c r="I42" s="865">
        <f t="shared" si="5"/>
        <v>24003000</v>
      </c>
      <c r="J42" s="866">
        <f t="shared" si="6"/>
        <v>1600200</v>
      </c>
      <c r="K42" s="867"/>
      <c r="L42" s="875">
        <f t="shared" si="7"/>
        <v>19140</v>
      </c>
      <c r="M42" s="869">
        <f t="shared" si="25"/>
        <v>3445200</v>
      </c>
      <c r="N42" s="869"/>
      <c r="O42" s="869">
        <f t="shared" ref="O42" si="29">N42*L42</f>
        <v>0</v>
      </c>
      <c r="P42" s="869">
        <f t="shared" si="26"/>
        <v>861300</v>
      </c>
      <c r="Q42" s="869"/>
      <c r="R42" s="870">
        <f t="shared" si="1"/>
        <v>5906700</v>
      </c>
      <c r="S42" s="871">
        <f t="shared" si="2"/>
        <v>2492480</v>
      </c>
      <c r="T42" s="871">
        <f t="shared" si="11"/>
        <v>1345940</v>
      </c>
      <c r="U42" s="871">
        <f t="shared" si="16"/>
        <v>1060300</v>
      </c>
      <c r="V42" s="871">
        <f t="shared" si="4"/>
        <v>135830</v>
      </c>
      <c r="W42" s="871">
        <f t="shared" si="12"/>
        <v>314050</v>
      </c>
      <c r="X42" s="871">
        <f t="shared" si="13"/>
        <v>239280</v>
      </c>
      <c r="Y42" s="869">
        <f t="shared" si="9"/>
        <v>3095400</v>
      </c>
      <c r="Z42" s="872">
        <f t="shared" si="10"/>
        <v>5587880</v>
      </c>
      <c r="AA42" s="1435"/>
      <c r="AB42" s="876"/>
      <c r="AC42" s="876"/>
      <c r="AD42" s="877"/>
      <c r="AE42" s="1431"/>
    </row>
    <row r="43" spans="1:31" s="1" customFormat="1" ht="24.95" customHeight="1" x14ac:dyDescent="0.15">
      <c r="A43" s="1430">
        <v>20</v>
      </c>
      <c r="B43" s="1430" t="s">
        <v>193</v>
      </c>
      <c r="C43" s="1430" t="s">
        <v>204</v>
      </c>
      <c r="D43" s="1432">
        <v>3</v>
      </c>
      <c r="E43" s="1432">
        <f>F43+F44</f>
        <v>12</v>
      </c>
      <c r="F43" s="854">
        <v>2</v>
      </c>
      <c r="G43" s="855" t="s">
        <v>1166</v>
      </c>
      <c r="H43" s="878">
        <v>2667000</v>
      </c>
      <c r="I43" s="865">
        <f t="shared" ref="I43:I72" si="30">H43*F43</f>
        <v>5334000</v>
      </c>
      <c r="J43" s="866">
        <f t="shared" ref="J43:J56" si="31">H43*60%</f>
        <v>1600200</v>
      </c>
      <c r="K43" s="867">
        <f>60000*12</f>
        <v>720000</v>
      </c>
      <c r="L43" s="868">
        <f t="shared" ref="L43:L72" si="32">ROUND(H43*1/209*1.5,-1)</f>
        <v>19140</v>
      </c>
      <c r="M43" s="869">
        <f t="shared" ref="M43:M48" si="33">(L43*20)*F43</f>
        <v>765600</v>
      </c>
      <c r="N43" s="869"/>
      <c r="O43" s="869"/>
      <c r="P43" s="869">
        <f t="shared" si="26"/>
        <v>191400</v>
      </c>
      <c r="Q43" s="869"/>
      <c r="R43" s="870">
        <f t="shared" si="1"/>
        <v>3277200</v>
      </c>
      <c r="S43" s="871">
        <f t="shared" si="2"/>
        <v>717600</v>
      </c>
      <c r="T43" s="871">
        <f t="shared" si="11"/>
        <v>387500</v>
      </c>
      <c r="U43" s="871">
        <f t="shared" si="16"/>
        <v>305270</v>
      </c>
      <c r="V43" s="871">
        <f t="shared" si="4"/>
        <v>39110</v>
      </c>
      <c r="W43" s="871">
        <f t="shared" si="12"/>
        <v>90420</v>
      </c>
      <c r="X43" s="871">
        <f t="shared" si="13"/>
        <v>68890</v>
      </c>
      <c r="Y43" s="869">
        <f t="shared" ref="Y43:Y56" si="34">SUM(T43:X43)</f>
        <v>891190</v>
      </c>
      <c r="Z43" s="872">
        <f t="shared" ref="Z43:Z72" si="35">SUM(S43,Y43)</f>
        <v>1608790</v>
      </c>
      <c r="AA43" s="1434">
        <f>SUM(Z43,Z44,R43,R44,I43,I44)</f>
        <v>50376800</v>
      </c>
      <c r="AB43" s="873">
        <f>250000*12</f>
        <v>3000000</v>
      </c>
      <c r="AC43" s="873">
        <f t="shared" si="15"/>
        <v>600000</v>
      </c>
      <c r="AD43" s="874">
        <f>AC43+AB43</f>
        <v>3600000</v>
      </c>
      <c r="AE43" s="1430"/>
    </row>
    <row r="44" spans="1:31" s="1" customFormat="1" ht="24.95" customHeight="1" x14ac:dyDescent="0.15">
      <c r="A44" s="1431"/>
      <c r="B44" s="1431"/>
      <c r="C44" s="1431"/>
      <c r="D44" s="1433"/>
      <c r="E44" s="1433"/>
      <c r="F44" s="859">
        <v>10</v>
      </c>
      <c r="G44" s="855">
        <f>G43+1</f>
        <v>14</v>
      </c>
      <c r="H44" s="878">
        <v>2730000</v>
      </c>
      <c r="I44" s="865">
        <f t="shared" si="30"/>
        <v>27300000</v>
      </c>
      <c r="J44" s="866">
        <f t="shared" si="31"/>
        <v>1638000</v>
      </c>
      <c r="K44" s="867"/>
      <c r="L44" s="875">
        <f t="shared" si="32"/>
        <v>19590</v>
      </c>
      <c r="M44" s="869">
        <f t="shared" si="33"/>
        <v>3918000</v>
      </c>
      <c r="N44" s="869"/>
      <c r="O44" s="869">
        <f t="shared" ref="O44" si="36">N44*L44</f>
        <v>0</v>
      </c>
      <c r="P44" s="869">
        <f t="shared" si="26"/>
        <v>979500</v>
      </c>
      <c r="Q44" s="869"/>
      <c r="R44" s="870">
        <f t="shared" si="1"/>
        <v>6535500</v>
      </c>
      <c r="S44" s="871">
        <f t="shared" si="2"/>
        <v>2819630</v>
      </c>
      <c r="T44" s="871">
        <f t="shared" si="11"/>
        <v>1522600</v>
      </c>
      <c r="U44" s="871">
        <f t="shared" si="16"/>
        <v>1199470</v>
      </c>
      <c r="V44" s="871">
        <f t="shared" si="4"/>
        <v>153660</v>
      </c>
      <c r="W44" s="871">
        <f t="shared" si="12"/>
        <v>355270</v>
      </c>
      <c r="X44" s="871">
        <f t="shared" si="13"/>
        <v>270680</v>
      </c>
      <c r="Y44" s="869">
        <f t="shared" si="34"/>
        <v>3501680</v>
      </c>
      <c r="Z44" s="872">
        <f t="shared" si="35"/>
        <v>6321310</v>
      </c>
      <c r="AA44" s="1435"/>
      <c r="AB44" s="876"/>
      <c r="AC44" s="876"/>
      <c r="AD44" s="877"/>
      <c r="AE44" s="1431"/>
    </row>
    <row r="45" spans="1:31" s="1" customFormat="1" ht="24.95" customHeight="1" x14ac:dyDescent="0.15">
      <c r="A45" s="1430">
        <v>21</v>
      </c>
      <c r="B45" s="1430" t="s">
        <v>193</v>
      </c>
      <c r="C45" s="1430" t="s">
        <v>205</v>
      </c>
      <c r="D45" s="1432">
        <v>6</v>
      </c>
      <c r="E45" s="1432">
        <f>F45+F46</f>
        <v>12</v>
      </c>
      <c r="F45" s="854">
        <v>5</v>
      </c>
      <c r="G45" s="855" t="s">
        <v>1159</v>
      </c>
      <c r="H45" s="878">
        <v>2730000</v>
      </c>
      <c r="I45" s="865">
        <f t="shared" si="30"/>
        <v>13650000</v>
      </c>
      <c r="J45" s="866">
        <f t="shared" si="31"/>
        <v>1638000</v>
      </c>
      <c r="K45" s="867">
        <f>60000*12</f>
        <v>720000</v>
      </c>
      <c r="L45" s="868">
        <f t="shared" si="32"/>
        <v>19590</v>
      </c>
      <c r="M45" s="869">
        <f t="shared" si="33"/>
        <v>1959000</v>
      </c>
      <c r="N45" s="869"/>
      <c r="O45" s="869"/>
      <c r="P45" s="869">
        <f t="shared" si="26"/>
        <v>489750</v>
      </c>
      <c r="Q45" s="869"/>
      <c r="R45" s="870">
        <f t="shared" si="1"/>
        <v>4806750</v>
      </c>
      <c r="S45" s="871">
        <f t="shared" si="2"/>
        <v>1538070</v>
      </c>
      <c r="T45" s="871">
        <f t="shared" si="11"/>
        <v>830550</v>
      </c>
      <c r="U45" s="871">
        <f t="shared" si="16"/>
        <v>654300</v>
      </c>
      <c r="V45" s="871">
        <f t="shared" si="4"/>
        <v>83820</v>
      </c>
      <c r="W45" s="871">
        <f t="shared" si="12"/>
        <v>193800</v>
      </c>
      <c r="X45" s="871">
        <f t="shared" si="13"/>
        <v>147650</v>
      </c>
      <c r="Y45" s="869">
        <f t="shared" si="34"/>
        <v>1910120</v>
      </c>
      <c r="Z45" s="872">
        <f t="shared" si="35"/>
        <v>3448190</v>
      </c>
      <c r="AA45" s="1434">
        <f>SUM(Z45,Z46,R45,R46,I45,I46)</f>
        <v>51219410</v>
      </c>
      <c r="AB45" s="873">
        <f>250000*12</f>
        <v>3000000</v>
      </c>
      <c r="AC45" s="873">
        <f t="shared" si="15"/>
        <v>600000</v>
      </c>
      <c r="AD45" s="874">
        <f>AC45+AB45</f>
        <v>3600000</v>
      </c>
      <c r="AE45" s="1430"/>
    </row>
    <row r="46" spans="1:31" s="1" customFormat="1" ht="24.95" customHeight="1" x14ac:dyDescent="0.15">
      <c r="A46" s="1431"/>
      <c r="B46" s="1431"/>
      <c r="C46" s="1431"/>
      <c r="D46" s="1433"/>
      <c r="E46" s="1433"/>
      <c r="F46" s="859">
        <v>7</v>
      </c>
      <c r="G46" s="855">
        <f>G45+1</f>
        <v>15</v>
      </c>
      <c r="H46" s="878">
        <v>2789000</v>
      </c>
      <c r="I46" s="865">
        <f t="shared" si="30"/>
        <v>19523000</v>
      </c>
      <c r="J46" s="866">
        <f t="shared" si="31"/>
        <v>1673400</v>
      </c>
      <c r="K46" s="867"/>
      <c r="L46" s="875">
        <f t="shared" si="32"/>
        <v>20020</v>
      </c>
      <c r="M46" s="869">
        <f t="shared" si="33"/>
        <v>2802800</v>
      </c>
      <c r="N46" s="869"/>
      <c r="O46" s="869">
        <f t="shared" ref="O46" si="37">N46*L46</f>
        <v>0</v>
      </c>
      <c r="P46" s="869">
        <f t="shared" si="26"/>
        <v>700700</v>
      </c>
      <c r="Q46" s="869"/>
      <c r="R46" s="870">
        <f t="shared" si="1"/>
        <v>5176900</v>
      </c>
      <c r="S46" s="871">
        <f t="shared" si="2"/>
        <v>2058330</v>
      </c>
      <c r="T46" s="871">
        <f t="shared" si="11"/>
        <v>1111500</v>
      </c>
      <c r="U46" s="871">
        <f t="shared" si="16"/>
        <v>875620</v>
      </c>
      <c r="V46" s="871">
        <f t="shared" si="4"/>
        <v>112170</v>
      </c>
      <c r="W46" s="871">
        <f t="shared" si="12"/>
        <v>259350</v>
      </c>
      <c r="X46" s="871">
        <f t="shared" si="13"/>
        <v>197600</v>
      </c>
      <c r="Y46" s="869">
        <f t="shared" si="34"/>
        <v>2556240</v>
      </c>
      <c r="Z46" s="872">
        <f t="shared" si="35"/>
        <v>4614570</v>
      </c>
      <c r="AA46" s="1435"/>
      <c r="AB46" s="876"/>
      <c r="AC46" s="876"/>
      <c r="AD46" s="877"/>
      <c r="AE46" s="1431"/>
    </row>
    <row r="47" spans="1:31" s="1" customFormat="1" ht="24.95" customHeight="1" x14ac:dyDescent="0.15">
      <c r="A47" s="1430">
        <v>22</v>
      </c>
      <c r="B47" s="1430" t="s">
        <v>193</v>
      </c>
      <c r="C47" s="1430" t="s">
        <v>206</v>
      </c>
      <c r="D47" s="1432">
        <v>7</v>
      </c>
      <c r="E47" s="1432">
        <f>F47+F48</f>
        <v>12</v>
      </c>
      <c r="F47" s="854">
        <v>6</v>
      </c>
      <c r="G47" s="855" t="s">
        <v>1165</v>
      </c>
      <c r="H47" s="878">
        <v>2616000</v>
      </c>
      <c r="I47" s="865">
        <f t="shared" si="30"/>
        <v>15696000</v>
      </c>
      <c r="J47" s="866">
        <f t="shared" si="31"/>
        <v>1569600</v>
      </c>
      <c r="K47" s="867">
        <f>(40000+20000+60000)*12</f>
        <v>1440000</v>
      </c>
      <c r="L47" s="868">
        <f t="shared" si="32"/>
        <v>18780</v>
      </c>
      <c r="M47" s="869">
        <f t="shared" si="33"/>
        <v>2253600</v>
      </c>
      <c r="N47" s="869"/>
      <c r="O47" s="869"/>
      <c r="P47" s="869">
        <f t="shared" si="26"/>
        <v>563400</v>
      </c>
      <c r="Q47" s="869"/>
      <c r="R47" s="870">
        <f t="shared" si="1"/>
        <v>5826600</v>
      </c>
      <c r="S47" s="871">
        <f t="shared" si="2"/>
        <v>1793550</v>
      </c>
      <c r="T47" s="871">
        <f t="shared" si="11"/>
        <v>968520</v>
      </c>
      <c r="U47" s="871">
        <f t="shared" si="16"/>
        <v>762980</v>
      </c>
      <c r="V47" s="871">
        <f t="shared" si="4"/>
        <v>97740</v>
      </c>
      <c r="W47" s="871">
        <f t="shared" si="12"/>
        <v>225990</v>
      </c>
      <c r="X47" s="871">
        <f t="shared" si="13"/>
        <v>172180</v>
      </c>
      <c r="Y47" s="869">
        <f t="shared" si="34"/>
        <v>2227410</v>
      </c>
      <c r="Z47" s="872">
        <f t="shared" si="35"/>
        <v>4020960</v>
      </c>
      <c r="AA47" s="1434">
        <f>SUM(Z47,Z48,R47,R48,I47,I48)</f>
        <v>49841670</v>
      </c>
      <c r="AB47" s="873">
        <f>250000*12</f>
        <v>3000000</v>
      </c>
      <c r="AC47" s="873">
        <f t="shared" si="15"/>
        <v>600000</v>
      </c>
      <c r="AD47" s="874">
        <f>AC47+AB47</f>
        <v>3600000</v>
      </c>
      <c r="AE47" s="1430"/>
    </row>
    <row r="48" spans="1:31" s="1" customFormat="1" ht="24.95" customHeight="1" x14ac:dyDescent="0.15">
      <c r="A48" s="1431"/>
      <c r="B48" s="1431"/>
      <c r="C48" s="1431"/>
      <c r="D48" s="1433"/>
      <c r="E48" s="1433"/>
      <c r="F48" s="859">
        <v>6</v>
      </c>
      <c r="G48" s="855">
        <f>G47+1</f>
        <v>13</v>
      </c>
      <c r="H48" s="878">
        <v>2667000</v>
      </c>
      <c r="I48" s="865">
        <f t="shared" si="30"/>
        <v>16002000</v>
      </c>
      <c r="J48" s="866">
        <f t="shared" si="31"/>
        <v>1600200</v>
      </c>
      <c r="K48" s="867"/>
      <c r="L48" s="875">
        <f t="shared" si="32"/>
        <v>19140</v>
      </c>
      <c r="M48" s="869">
        <f t="shared" si="33"/>
        <v>2296800</v>
      </c>
      <c r="N48" s="869"/>
      <c r="O48" s="869">
        <f t="shared" ref="O48" si="38">N48*L48</f>
        <v>0</v>
      </c>
      <c r="P48" s="869">
        <f t="shared" si="26"/>
        <v>574200</v>
      </c>
      <c r="Q48" s="869"/>
      <c r="R48" s="870">
        <f t="shared" si="1"/>
        <v>4471200</v>
      </c>
      <c r="S48" s="871">
        <f t="shared" si="2"/>
        <v>1706100</v>
      </c>
      <c r="T48" s="871">
        <f t="shared" si="11"/>
        <v>921290</v>
      </c>
      <c r="U48" s="871">
        <f t="shared" si="16"/>
        <v>725780</v>
      </c>
      <c r="V48" s="871">
        <f t="shared" si="4"/>
        <v>92980</v>
      </c>
      <c r="W48" s="871">
        <f t="shared" si="12"/>
        <v>214970</v>
      </c>
      <c r="X48" s="871">
        <f t="shared" si="13"/>
        <v>163790</v>
      </c>
      <c r="Y48" s="869">
        <f t="shared" si="34"/>
        <v>2118810</v>
      </c>
      <c r="Z48" s="872">
        <f t="shared" si="35"/>
        <v>3824910</v>
      </c>
      <c r="AA48" s="1435"/>
      <c r="AB48" s="876"/>
      <c r="AC48" s="876"/>
      <c r="AD48" s="877"/>
      <c r="AE48" s="1431"/>
    </row>
    <row r="49" spans="1:31" s="1" customFormat="1" ht="24.95" customHeight="1" x14ac:dyDescent="0.15">
      <c r="A49" s="1430">
        <v>23</v>
      </c>
      <c r="B49" s="1430" t="s">
        <v>193</v>
      </c>
      <c r="C49" s="1430" t="s">
        <v>207</v>
      </c>
      <c r="D49" s="1432">
        <v>7</v>
      </c>
      <c r="E49" s="1432">
        <f>F49+F50</f>
        <v>12</v>
      </c>
      <c r="F49" s="854">
        <v>6</v>
      </c>
      <c r="G49" s="855" t="s">
        <v>1167</v>
      </c>
      <c r="H49" s="878">
        <v>2478000</v>
      </c>
      <c r="I49" s="865">
        <f t="shared" si="30"/>
        <v>14868000</v>
      </c>
      <c r="J49" s="866">
        <f t="shared" si="31"/>
        <v>1486800</v>
      </c>
      <c r="K49" s="867"/>
      <c r="L49" s="868">
        <f t="shared" si="32"/>
        <v>17780</v>
      </c>
      <c r="M49" s="869">
        <f>(L49*40)*F49</f>
        <v>4267200</v>
      </c>
      <c r="N49" s="869"/>
      <c r="O49" s="869"/>
      <c r="P49" s="869"/>
      <c r="Q49" s="869"/>
      <c r="R49" s="870">
        <f t="shared" si="1"/>
        <v>5754000</v>
      </c>
      <c r="S49" s="871">
        <f t="shared" si="2"/>
        <v>1718500</v>
      </c>
      <c r="T49" s="871">
        <f t="shared" si="11"/>
        <v>927990</v>
      </c>
      <c r="U49" s="871">
        <f t="shared" si="16"/>
        <v>731050</v>
      </c>
      <c r="V49" s="871">
        <f t="shared" si="4"/>
        <v>93650</v>
      </c>
      <c r="W49" s="871">
        <f t="shared" si="12"/>
        <v>216530</v>
      </c>
      <c r="X49" s="871">
        <f t="shared" si="13"/>
        <v>164980</v>
      </c>
      <c r="Y49" s="869">
        <f t="shared" si="34"/>
        <v>2134200</v>
      </c>
      <c r="Z49" s="872">
        <f t="shared" si="35"/>
        <v>3852700</v>
      </c>
      <c r="AA49" s="1434">
        <f>SUM(Z49,Z50,R49,R50,I49,I50)</f>
        <v>52324010</v>
      </c>
      <c r="AB49" s="873">
        <f>250000*12</f>
        <v>3000000</v>
      </c>
      <c r="AC49" s="873">
        <f t="shared" si="15"/>
        <v>600000</v>
      </c>
      <c r="AD49" s="874">
        <f>AC49+AB49</f>
        <v>3600000</v>
      </c>
      <c r="AE49" s="1430"/>
    </row>
    <row r="50" spans="1:31" s="1" customFormat="1" ht="24.95" customHeight="1" x14ac:dyDescent="0.15">
      <c r="A50" s="1431"/>
      <c r="B50" s="1431"/>
      <c r="C50" s="1431"/>
      <c r="D50" s="1433"/>
      <c r="E50" s="1433"/>
      <c r="F50" s="859">
        <v>6</v>
      </c>
      <c r="G50" s="855">
        <f>G49+1</f>
        <v>11</v>
      </c>
      <c r="H50" s="878">
        <v>2555000</v>
      </c>
      <c r="I50" s="865">
        <f t="shared" si="30"/>
        <v>15330000</v>
      </c>
      <c r="J50" s="866">
        <f t="shared" si="31"/>
        <v>1533000</v>
      </c>
      <c r="K50" s="867"/>
      <c r="L50" s="875">
        <f t="shared" si="32"/>
        <v>18340</v>
      </c>
      <c r="M50" s="869">
        <f>(L50*40)*F50</f>
        <v>4401600</v>
      </c>
      <c r="N50" s="869">
        <v>120</v>
      </c>
      <c r="O50" s="869">
        <f t="shared" ref="O50" si="39">N50*L50</f>
        <v>2200800</v>
      </c>
      <c r="P50" s="869"/>
      <c r="Q50" s="869"/>
      <c r="R50" s="870">
        <f t="shared" si="1"/>
        <v>8135400</v>
      </c>
      <c r="S50" s="871">
        <f t="shared" si="2"/>
        <v>1955450</v>
      </c>
      <c r="T50" s="871">
        <f t="shared" si="11"/>
        <v>1055940</v>
      </c>
      <c r="U50" s="871">
        <f t="shared" si="16"/>
        <v>831850</v>
      </c>
      <c r="V50" s="871">
        <f t="shared" si="4"/>
        <v>106560</v>
      </c>
      <c r="W50" s="871">
        <f t="shared" si="12"/>
        <v>246390</v>
      </c>
      <c r="X50" s="871">
        <f t="shared" si="13"/>
        <v>187720</v>
      </c>
      <c r="Y50" s="869">
        <f t="shared" si="34"/>
        <v>2428460</v>
      </c>
      <c r="Z50" s="872">
        <f t="shared" si="35"/>
        <v>4383910</v>
      </c>
      <c r="AA50" s="1435"/>
      <c r="AB50" s="876"/>
      <c r="AC50" s="876"/>
      <c r="AD50" s="877"/>
      <c r="AE50" s="1431"/>
    </row>
    <row r="51" spans="1:31" s="1" customFormat="1" ht="24.95" customHeight="1" x14ac:dyDescent="0.15">
      <c r="A51" s="1430">
        <v>24</v>
      </c>
      <c r="B51" s="1430" t="s">
        <v>193</v>
      </c>
      <c r="C51" s="1430" t="s">
        <v>209</v>
      </c>
      <c r="D51" s="1432">
        <v>5</v>
      </c>
      <c r="E51" s="1432">
        <f>F51+F52</f>
        <v>12</v>
      </c>
      <c r="F51" s="854">
        <v>4</v>
      </c>
      <c r="G51" s="855" t="s">
        <v>1160</v>
      </c>
      <c r="H51" s="878">
        <v>2310000</v>
      </c>
      <c r="I51" s="865">
        <f t="shared" si="30"/>
        <v>9240000</v>
      </c>
      <c r="J51" s="866">
        <f t="shared" si="31"/>
        <v>1386000</v>
      </c>
      <c r="K51" s="867"/>
      <c r="L51" s="868">
        <f t="shared" si="32"/>
        <v>16580</v>
      </c>
      <c r="M51" s="869">
        <f t="shared" ref="M51:M68" si="40">(L51*40)*F51</f>
        <v>2652800</v>
      </c>
      <c r="N51" s="869"/>
      <c r="O51" s="869"/>
      <c r="P51" s="869"/>
      <c r="Q51" s="869"/>
      <c r="R51" s="870">
        <f t="shared" si="1"/>
        <v>4038800</v>
      </c>
      <c r="S51" s="871">
        <f t="shared" si="2"/>
        <v>1106570</v>
      </c>
      <c r="T51" s="871">
        <f t="shared" si="11"/>
        <v>597550</v>
      </c>
      <c r="U51" s="871">
        <f t="shared" si="16"/>
        <v>470740</v>
      </c>
      <c r="V51" s="871">
        <f t="shared" si="4"/>
        <v>60310</v>
      </c>
      <c r="W51" s="871">
        <f t="shared" si="12"/>
        <v>139430</v>
      </c>
      <c r="X51" s="871">
        <f t="shared" si="13"/>
        <v>106230</v>
      </c>
      <c r="Y51" s="869">
        <f t="shared" si="34"/>
        <v>1374260</v>
      </c>
      <c r="Z51" s="872">
        <f t="shared" si="35"/>
        <v>2480830</v>
      </c>
      <c r="AA51" s="1434">
        <f>SUM(Z51,Z52,R51,R52,I51,I52)</f>
        <v>49196760</v>
      </c>
      <c r="AB51" s="873">
        <f>250000*12</f>
        <v>3000000</v>
      </c>
      <c r="AC51" s="873">
        <f t="shared" si="15"/>
        <v>600000</v>
      </c>
      <c r="AD51" s="874">
        <f>SUM(AB51:AC52)</f>
        <v>3600000</v>
      </c>
      <c r="AE51" s="1430"/>
    </row>
    <row r="52" spans="1:31" s="1" customFormat="1" ht="24.95" customHeight="1" x14ac:dyDescent="0.15">
      <c r="A52" s="1431"/>
      <c r="B52" s="1431"/>
      <c r="C52" s="1431"/>
      <c r="D52" s="1433"/>
      <c r="E52" s="1433"/>
      <c r="F52" s="859">
        <v>8</v>
      </c>
      <c r="G52" s="855">
        <f>G51+1</f>
        <v>9</v>
      </c>
      <c r="H52" s="878">
        <v>2396000</v>
      </c>
      <c r="I52" s="865">
        <f t="shared" si="30"/>
        <v>19168000</v>
      </c>
      <c r="J52" s="866">
        <f t="shared" si="31"/>
        <v>1437600</v>
      </c>
      <c r="K52" s="867"/>
      <c r="L52" s="875">
        <f t="shared" si="32"/>
        <v>17200</v>
      </c>
      <c r="M52" s="869">
        <f t="shared" si="40"/>
        <v>5504000</v>
      </c>
      <c r="N52" s="869">
        <v>120</v>
      </c>
      <c r="O52" s="869">
        <f t="shared" ref="O52" si="41">N52*L52</f>
        <v>2064000</v>
      </c>
      <c r="P52" s="869"/>
      <c r="Q52" s="869"/>
      <c r="R52" s="870">
        <f t="shared" si="1"/>
        <v>9005600</v>
      </c>
      <c r="S52" s="871">
        <f t="shared" si="2"/>
        <v>2347800</v>
      </c>
      <c r="T52" s="871">
        <f t="shared" si="11"/>
        <v>1267810</v>
      </c>
      <c r="U52" s="871">
        <f t="shared" si="16"/>
        <v>998760</v>
      </c>
      <c r="V52" s="871">
        <f t="shared" si="4"/>
        <v>127950</v>
      </c>
      <c r="W52" s="871">
        <f t="shared" si="12"/>
        <v>295820</v>
      </c>
      <c r="X52" s="871">
        <f t="shared" si="13"/>
        <v>225390</v>
      </c>
      <c r="Y52" s="869">
        <f t="shared" si="34"/>
        <v>2915730</v>
      </c>
      <c r="Z52" s="872">
        <f t="shared" si="35"/>
        <v>5263530</v>
      </c>
      <c r="AA52" s="1435"/>
      <c r="AB52" s="876"/>
      <c r="AC52" s="876"/>
      <c r="AD52" s="877"/>
      <c r="AE52" s="1431"/>
    </row>
    <row r="53" spans="1:31" s="1" customFormat="1" ht="24.95" customHeight="1" x14ac:dyDescent="0.15">
      <c r="A53" s="1430">
        <v>25</v>
      </c>
      <c r="B53" s="1430" t="s">
        <v>193</v>
      </c>
      <c r="C53" s="1430" t="s">
        <v>210</v>
      </c>
      <c r="D53" s="1432">
        <v>10</v>
      </c>
      <c r="E53" s="1432">
        <f>F53+F54</f>
        <v>12</v>
      </c>
      <c r="F53" s="854">
        <v>9</v>
      </c>
      <c r="G53" s="855" t="s">
        <v>1168</v>
      </c>
      <c r="H53" s="878">
        <v>2234000</v>
      </c>
      <c r="I53" s="865">
        <f t="shared" si="30"/>
        <v>20106000</v>
      </c>
      <c r="J53" s="866">
        <f t="shared" si="31"/>
        <v>1340400</v>
      </c>
      <c r="K53" s="867"/>
      <c r="L53" s="868">
        <f t="shared" si="32"/>
        <v>16030</v>
      </c>
      <c r="M53" s="869">
        <f t="shared" si="40"/>
        <v>5770800</v>
      </c>
      <c r="N53" s="869"/>
      <c r="O53" s="869"/>
      <c r="P53" s="869"/>
      <c r="Q53" s="869"/>
      <c r="R53" s="870">
        <f t="shared" si="1"/>
        <v>7111200</v>
      </c>
      <c r="S53" s="871">
        <f t="shared" si="2"/>
        <v>2268100</v>
      </c>
      <c r="T53" s="871">
        <f t="shared" si="11"/>
        <v>1224770</v>
      </c>
      <c r="U53" s="871">
        <f t="shared" si="16"/>
        <v>964850</v>
      </c>
      <c r="V53" s="871">
        <f t="shared" si="4"/>
        <v>123600</v>
      </c>
      <c r="W53" s="871">
        <f t="shared" si="12"/>
        <v>285780</v>
      </c>
      <c r="X53" s="871">
        <f t="shared" si="13"/>
        <v>217740</v>
      </c>
      <c r="Y53" s="869">
        <f t="shared" si="34"/>
        <v>2816740</v>
      </c>
      <c r="Z53" s="872">
        <f t="shared" si="35"/>
        <v>5084840</v>
      </c>
      <c r="AA53" s="1434">
        <f>SUM(Z53,Z54,R53,R54,I53,I54)</f>
        <v>46894290</v>
      </c>
      <c r="AB53" s="873">
        <f>250000*12</f>
        <v>3000000</v>
      </c>
      <c r="AC53" s="873">
        <f t="shared" si="15"/>
        <v>600000</v>
      </c>
      <c r="AD53" s="874">
        <f>SUM(AB53:AC54)</f>
        <v>3600000</v>
      </c>
      <c r="AE53" s="1430"/>
    </row>
    <row r="54" spans="1:31" s="1" customFormat="1" ht="24.95" customHeight="1" x14ac:dyDescent="0.15">
      <c r="A54" s="1431"/>
      <c r="B54" s="1431"/>
      <c r="C54" s="1431"/>
      <c r="D54" s="1433"/>
      <c r="E54" s="1433"/>
      <c r="F54" s="859">
        <v>3</v>
      </c>
      <c r="G54" s="855">
        <f>G53+1</f>
        <v>8</v>
      </c>
      <c r="H54" s="878">
        <v>2310000</v>
      </c>
      <c r="I54" s="865">
        <f t="shared" si="30"/>
        <v>6930000</v>
      </c>
      <c r="J54" s="866">
        <f t="shared" si="31"/>
        <v>1386000</v>
      </c>
      <c r="K54" s="867"/>
      <c r="L54" s="875">
        <f t="shared" si="32"/>
        <v>16580</v>
      </c>
      <c r="M54" s="869">
        <f t="shared" si="40"/>
        <v>1989600</v>
      </c>
      <c r="N54" s="869">
        <v>120</v>
      </c>
      <c r="O54" s="869">
        <f t="shared" ref="O54" si="42">N54*L54</f>
        <v>1989600</v>
      </c>
      <c r="P54" s="869"/>
      <c r="Q54" s="869"/>
      <c r="R54" s="870">
        <f t="shared" si="1"/>
        <v>5365200</v>
      </c>
      <c r="S54" s="871">
        <f t="shared" si="2"/>
        <v>1024600</v>
      </c>
      <c r="T54" s="871">
        <f t="shared" si="11"/>
        <v>553280</v>
      </c>
      <c r="U54" s="871">
        <f t="shared" si="16"/>
        <v>435870</v>
      </c>
      <c r="V54" s="871">
        <f t="shared" si="4"/>
        <v>55840</v>
      </c>
      <c r="W54" s="871">
        <f t="shared" si="12"/>
        <v>129100</v>
      </c>
      <c r="X54" s="871">
        <f t="shared" si="13"/>
        <v>98360</v>
      </c>
      <c r="Y54" s="869">
        <f t="shared" si="34"/>
        <v>1272450</v>
      </c>
      <c r="Z54" s="872">
        <f t="shared" si="35"/>
        <v>2297050</v>
      </c>
      <c r="AA54" s="1435"/>
      <c r="AB54" s="881"/>
      <c r="AC54" s="876"/>
      <c r="AD54" s="877"/>
      <c r="AE54" s="1431"/>
    </row>
    <row r="55" spans="1:31" s="1" customFormat="1" ht="24.95" customHeight="1" x14ac:dyDescent="0.15">
      <c r="A55" s="1430">
        <v>26</v>
      </c>
      <c r="B55" s="1430" t="s">
        <v>193</v>
      </c>
      <c r="C55" s="1430" t="s">
        <v>211</v>
      </c>
      <c r="D55" s="1432">
        <v>5</v>
      </c>
      <c r="E55" s="1432">
        <f>F55+F56</f>
        <v>12</v>
      </c>
      <c r="F55" s="854">
        <v>4</v>
      </c>
      <c r="G55" s="855" t="s">
        <v>198</v>
      </c>
      <c r="H55" s="878">
        <v>2310000</v>
      </c>
      <c r="I55" s="865">
        <f t="shared" si="30"/>
        <v>9240000</v>
      </c>
      <c r="J55" s="866">
        <f t="shared" si="31"/>
        <v>1386000</v>
      </c>
      <c r="K55" s="867">
        <f>40000*12</f>
        <v>480000</v>
      </c>
      <c r="L55" s="868">
        <f t="shared" si="32"/>
        <v>16580</v>
      </c>
      <c r="M55" s="869">
        <f t="shared" si="40"/>
        <v>2652800</v>
      </c>
      <c r="N55" s="869"/>
      <c r="O55" s="869"/>
      <c r="P55" s="869"/>
      <c r="Q55" s="869"/>
      <c r="R55" s="870">
        <f t="shared" si="1"/>
        <v>4518800</v>
      </c>
      <c r="S55" s="871">
        <f t="shared" si="2"/>
        <v>1146570</v>
      </c>
      <c r="T55" s="871">
        <f t="shared" si="11"/>
        <v>619150</v>
      </c>
      <c r="U55" s="871">
        <f t="shared" si="16"/>
        <v>487750</v>
      </c>
      <c r="V55" s="871">
        <f t="shared" si="4"/>
        <v>62490</v>
      </c>
      <c r="W55" s="871">
        <f t="shared" si="12"/>
        <v>144470</v>
      </c>
      <c r="X55" s="871">
        <f t="shared" si="13"/>
        <v>110070</v>
      </c>
      <c r="Y55" s="869">
        <f t="shared" si="34"/>
        <v>1423930</v>
      </c>
      <c r="Z55" s="872">
        <f t="shared" si="35"/>
        <v>2570500</v>
      </c>
      <c r="AA55" s="1434">
        <f>SUM(Z55,Z56,R55,R56,I55,I56)</f>
        <v>49766430</v>
      </c>
      <c r="AB55" s="873">
        <f>250000*12</f>
        <v>3000000</v>
      </c>
      <c r="AC55" s="873">
        <f t="shared" si="15"/>
        <v>600000</v>
      </c>
      <c r="AD55" s="874">
        <f>SUM(AB55:AC56)</f>
        <v>3600000</v>
      </c>
      <c r="AE55" s="1430"/>
    </row>
    <row r="56" spans="1:31" s="1" customFormat="1" ht="24.95" customHeight="1" x14ac:dyDescent="0.15">
      <c r="A56" s="1431"/>
      <c r="B56" s="1431"/>
      <c r="C56" s="1431"/>
      <c r="D56" s="1433"/>
      <c r="E56" s="1433"/>
      <c r="F56" s="859">
        <v>8</v>
      </c>
      <c r="G56" s="855">
        <f>G55+1</f>
        <v>9</v>
      </c>
      <c r="H56" s="878">
        <v>2396000</v>
      </c>
      <c r="I56" s="865">
        <f t="shared" si="30"/>
        <v>19168000</v>
      </c>
      <c r="J56" s="866">
        <f t="shared" si="31"/>
        <v>1437600</v>
      </c>
      <c r="K56" s="867"/>
      <c r="L56" s="875">
        <f t="shared" si="32"/>
        <v>17200</v>
      </c>
      <c r="M56" s="869">
        <f t="shared" si="40"/>
        <v>5504000</v>
      </c>
      <c r="N56" s="869">
        <v>120</v>
      </c>
      <c r="O56" s="869">
        <f t="shared" ref="O56:O57" si="43">N56*L56</f>
        <v>2064000</v>
      </c>
      <c r="P56" s="869"/>
      <c r="Q56" s="869"/>
      <c r="R56" s="870">
        <f t="shared" si="1"/>
        <v>9005600</v>
      </c>
      <c r="S56" s="871">
        <f t="shared" si="2"/>
        <v>2347800</v>
      </c>
      <c r="T56" s="871">
        <f t="shared" si="11"/>
        <v>1267810</v>
      </c>
      <c r="U56" s="871">
        <f t="shared" si="16"/>
        <v>998760</v>
      </c>
      <c r="V56" s="871">
        <f t="shared" si="4"/>
        <v>127950</v>
      </c>
      <c r="W56" s="871">
        <f t="shared" si="12"/>
        <v>295820</v>
      </c>
      <c r="X56" s="871">
        <f t="shared" si="13"/>
        <v>225390</v>
      </c>
      <c r="Y56" s="869">
        <f t="shared" si="34"/>
        <v>2915730</v>
      </c>
      <c r="Z56" s="872">
        <f t="shared" si="35"/>
        <v>5263530</v>
      </c>
      <c r="AA56" s="1435"/>
      <c r="AB56" s="876"/>
      <c r="AC56" s="876"/>
      <c r="AD56" s="877"/>
      <c r="AE56" s="1431"/>
    </row>
    <row r="57" spans="1:31" s="1" customFormat="1" ht="24.95" customHeight="1" x14ac:dyDescent="0.15">
      <c r="A57" s="1430">
        <v>27</v>
      </c>
      <c r="B57" s="1430" t="s">
        <v>193</v>
      </c>
      <c r="C57" s="1430" t="s">
        <v>1196</v>
      </c>
      <c r="D57" s="1432">
        <v>1</v>
      </c>
      <c r="E57" s="1432">
        <f>F57+F58</f>
        <v>12</v>
      </c>
      <c r="F57" s="854">
        <v>12</v>
      </c>
      <c r="G57" s="855" t="s">
        <v>1169</v>
      </c>
      <c r="H57" s="878">
        <v>2478000</v>
      </c>
      <c r="I57" s="865">
        <f t="shared" si="30"/>
        <v>29736000</v>
      </c>
      <c r="J57" s="866">
        <f>H57*60%*2</f>
        <v>2973600</v>
      </c>
      <c r="K57" s="867">
        <f>40000*12</f>
        <v>480000</v>
      </c>
      <c r="L57" s="868">
        <f t="shared" si="32"/>
        <v>17780</v>
      </c>
      <c r="M57" s="869">
        <f t="shared" si="40"/>
        <v>8534400</v>
      </c>
      <c r="N57" s="869">
        <v>120</v>
      </c>
      <c r="O57" s="869">
        <f t="shared" si="43"/>
        <v>2133600</v>
      </c>
      <c r="P57" s="869"/>
      <c r="Q57" s="869"/>
      <c r="R57" s="870">
        <f t="shared" si="1"/>
        <v>14121600</v>
      </c>
      <c r="S57" s="871">
        <f t="shared" si="2"/>
        <v>3654800</v>
      </c>
      <c r="T57" s="871">
        <f t="shared" si="11"/>
        <v>1973590</v>
      </c>
      <c r="U57" s="871">
        <f t="shared" si="16"/>
        <v>1554760</v>
      </c>
      <c r="V57" s="871">
        <f t="shared" si="4"/>
        <v>199170</v>
      </c>
      <c r="W57" s="871">
        <f t="shared" si="12"/>
        <v>460500</v>
      </c>
      <c r="X57" s="871">
        <f t="shared" si="13"/>
        <v>350860</v>
      </c>
      <c r="Y57" s="869">
        <f t="shared" ref="Y57:Y72" si="44">SUM(T57:X57)</f>
        <v>4538880</v>
      </c>
      <c r="Z57" s="872">
        <f t="shared" si="35"/>
        <v>8193680</v>
      </c>
      <c r="AA57" s="1153">
        <f>SUM(Z57,Z58,R57,R58,I57,I58)</f>
        <v>52051280</v>
      </c>
      <c r="AB57" s="873">
        <f>250000*12</f>
        <v>3000000</v>
      </c>
      <c r="AC57" s="873">
        <f t="shared" si="15"/>
        <v>600000</v>
      </c>
      <c r="AD57" s="874">
        <f>SUM(AB57:AC58)</f>
        <v>3600000</v>
      </c>
      <c r="AE57" s="1151"/>
    </row>
    <row r="58" spans="1:31" s="1" customFormat="1" ht="24.95" customHeight="1" x14ac:dyDescent="0.15">
      <c r="A58" s="1431"/>
      <c r="B58" s="1431"/>
      <c r="C58" s="1431"/>
      <c r="D58" s="1433"/>
      <c r="E58" s="1433"/>
      <c r="F58" s="859"/>
      <c r="G58" s="855"/>
      <c r="H58" s="878"/>
      <c r="I58" s="865">
        <f t="shared" si="30"/>
        <v>0</v>
      </c>
      <c r="J58" s="866">
        <f t="shared" ref="J58:J66" si="45">H58*60%</f>
        <v>0</v>
      </c>
      <c r="K58" s="867"/>
      <c r="L58" s="875">
        <f t="shared" si="32"/>
        <v>0</v>
      </c>
      <c r="M58" s="869">
        <f t="shared" si="40"/>
        <v>0</v>
      </c>
      <c r="N58" s="869"/>
      <c r="O58" s="869">
        <f t="shared" ref="O58:O59" si="46">N58*L58</f>
        <v>0</v>
      </c>
      <c r="P58" s="869"/>
      <c r="Q58" s="869"/>
      <c r="R58" s="870">
        <f t="shared" si="1"/>
        <v>0</v>
      </c>
      <c r="S58" s="871">
        <f t="shared" si="2"/>
        <v>0</v>
      </c>
      <c r="T58" s="871">
        <f t="shared" si="11"/>
        <v>0</v>
      </c>
      <c r="U58" s="871">
        <f t="shared" si="16"/>
        <v>0</v>
      </c>
      <c r="V58" s="871">
        <f t="shared" si="4"/>
        <v>0</v>
      </c>
      <c r="W58" s="871">
        <f t="shared" si="12"/>
        <v>0</v>
      </c>
      <c r="X58" s="871">
        <f t="shared" si="13"/>
        <v>0</v>
      </c>
      <c r="Y58" s="869">
        <f t="shared" si="44"/>
        <v>0</v>
      </c>
      <c r="Z58" s="872">
        <f t="shared" si="35"/>
        <v>0</v>
      </c>
      <c r="AA58" s="1154"/>
      <c r="AB58" s="876"/>
      <c r="AC58" s="876"/>
      <c r="AD58" s="877"/>
      <c r="AE58" s="1152"/>
    </row>
    <row r="59" spans="1:31" s="1" customFormat="1" ht="24.95" customHeight="1" x14ac:dyDescent="0.15">
      <c r="A59" s="1430">
        <v>28</v>
      </c>
      <c r="B59" s="1430" t="s">
        <v>193</v>
      </c>
      <c r="C59" s="1430" t="s">
        <v>1197</v>
      </c>
      <c r="D59" s="1432">
        <v>6</v>
      </c>
      <c r="E59" s="1432">
        <f>F59+F60</f>
        <v>12</v>
      </c>
      <c r="F59" s="854">
        <v>5</v>
      </c>
      <c r="G59" s="855" t="s">
        <v>1184</v>
      </c>
      <c r="H59" s="878">
        <v>2099000</v>
      </c>
      <c r="I59" s="865">
        <f t="shared" si="30"/>
        <v>10495000</v>
      </c>
      <c r="J59" s="866">
        <f t="shared" si="45"/>
        <v>1259400</v>
      </c>
      <c r="K59" s="867"/>
      <c r="L59" s="868">
        <f t="shared" si="32"/>
        <v>15060</v>
      </c>
      <c r="M59" s="869">
        <f t="shared" si="40"/>
        <v>3012000</v>
      </c>
      <c r="N59" s="869">
        <v>120</v>
      </c>
      <c r="O59" s="869">
        <f t="shared" si="46"/>
        <v>1807200</v>
      </c>
      <c r="P59" s="869"/>
      <c r="Q59" s="869"/>
      <c r="R59" s="870">
        <f t="shared" si="1"/>
        <v>6078600</v>
      </c>
      <c r="S59" s="871">
        <f t="shared" si="2"/>
        <v>1381140</v>
      </c>
      <c r="T59" s="871">
        <f t="shared" si="11"/>
        <v>745810</v>
      </c>
      <c r="U59" s="871">
        <f t="shared" si="16"/>
        <v>587540</v>
      </c>
      <c r="V59" s="871">
        <f t="shared" si="4"/>
        <v>75270</v>
      </c>
      <c r="W59" s="871">
        <f t="shared" si="12"/>
        <v>174020</v>
      </c>
      <c r="X59" s="871">
        <f t="shared" si="13"/>
        <v>132590</v>
      </c>
      <c r="Y59" s="869">
        <f t="shared" si="44"/>
        <v>1715230</v>
      </c>
      <c r="Z59" s="872">
        <f t="shared" si="35"/>
        <v>3096370</v>
      </c>
      <c r="AA59" s="1153">
        <f>SUM(Z59,Z60,R59,R60,I59,I60)</f>
        <v>44349770</v>
      </c>
      <c r="AB59" s="873">
        <f>220000*5</f>
        <v>1100000</v>
      </c>
      <c r="AC59" s="873">
        <f t="shared" si="15"/>
        <v>600000</v>
      </c>
      <c r="AD59" s="874">
        <f>SUM(AB59:AC60)</f>
        <v>3450000</v>
      </c>
      <c r="AE59" s="1151"/>
    </row>
    <row r="60" spans="1:31" s="1" customFormat="1" ht="24.95" customHeight="1" x14ac:dyDescent="0.15">
      <c r="A60" s="1431"/>
      <c r="B60" s="1431"/>
      <c r="C60" s="1431"/>
      <c r="D60" s="1433"/>
      <c r="E60" s="1433"/>
      <c r="F60" s="859">
        <v>7</v>
      </c>
      <c r="G60" s="855">
        <f>G59+1</f>
        <v>6</v>
      </c>
      <c r="H60" s="878">
        <v>2164000</v>
      </c>
      <c r="I60" s="865">
        <f t="shared" si="30"/>
        <v>15148000</v>
      </c>
      <c r="J60" s="866">
        <f t="shared" si="45"/>
        <v>1298400</v>
      </c>
      <c r="K60" s="867"/>
      <c r="L60" s="875">
        <f t="shared" si="32"/>
        <v>15530</v>
      </c>
      <c r="M60" s="869">
        <f t="shared" si="40"/>
        <v>4348400</v>
      </c>
      <c r="N60" s="869"/>
      <c r="O60" s="869">
        <f t="shared" ref="O60:O62" si="47">N60*L60</f>
        <v>0</v>
      </c>
      <c r="P60" s="869"/>
      <c r="Q60" s="869"/>
      <c r="R60" s="870">
        <f t="shared" si="1"/>
        <v>5646800</v>
      </c>
      <c r="S60" s="871">
        <f t="shared" si="2"/>
        <v>1732900</v>
      </c>
      <c r="T60" s="871">
        <f t="shared" si="11"/>
        <v>935770</v>
      </c>
      <c r="U60" s="871">
        <f t="shared" si="16"/>
        <v>737180</v>
      </c>
      <c r="V60" s="871">
        <f t="shared" si="4"/>
        <v>94440</v>
      </c>
      <c r="W60" s="871">
        <f t="shared" si="12"/>
        <v>218350</v>
      </c>
      <c r="X60" s="871">
        <f t="shared" si="13"/>
        <v>166360</v>
      </c>
      <c r="Y60" s="869">
        <f t="shared" si="44"/>
        <v>2152100</v>
      </c>
      <c r="Z60" s="872">
        <f t="shared" si="35"/>
        <v>3885000</v>
      </c>
      <c r="AA60" s="1154"/>
      <c r="AB60" s="881">
        <f>250000*7</f>
        <v>1750000</v>
      </c>
      <c r="AC60" s="876"/>
      <c r="AD60" s="877"/>
      <c r="AE60" s="1152"/>
    </row>
    <row r="61" spans="1:31" s="1" customFormat="1" ht="24.95" customHeight="1" x14ac:dyDescent="0.15">
      <c r="A61" s="1430">
        <v>29</v>
      </c>
      <c r="B61" s="1430" t="s">
        <v>193</v>
      </c>
      <c r="C61" s="1430" t="s">
        <v>1185</v>
      </c>
      <c r="D61" s="1432">
        <v>11</v>
      </c>
      <c r="E61" s="1432">
        <f>F61+F62</f>
        <v>12</v>
      </c>
      <c r="F61" s="854">
        <v>10</v>
      </c>
      <c r="G61" s="855" t="s">
        <v>1170</v>
      </c>
      <c r="H61" s="878">
        <v>2099000</v>
      </c>
      <c r="I61" s="865">
        <f t="shared" si="30"/>
        <v>20990000</v>
      </c>
      <c r="J61" s="866">
        <f t="shared" si="45"/>
        <v>1259400</v>
      </c>
      <c r="K61" s="867">
        <f>20000*12</f>
        <v>240000</v>
      </c>
      <c r="L61" s="868">
        <f t="shared" si="32"/>
        <v>15060</v>
      </c>
      <c r="M61" s="869">
        <f t="shared" si="40"/>
        <v>6024000</v>
      </c>
      <c r="N61" s="869"/>
      <c r="O61" s="869">
        <f t="shared" si="47"/>
        <v>0</v>
      </c>
      <c r="P61" s="869"/>
      <c r="Q61" s="869"/>
      <c r="R61" s="870">
        <f t="shared" si="1"/>
        <v>7523400</v>
      </c>
      <c r="S61" s="871">
        <f t="shared" si="2"/>
        <v>2376120</v>
      </c>
      <c r="T61" s="871">
        <f t="shared" si="11"/>
        <v>1283100</v>
      </c>
      <c r="U61" s="871">
        <f t="shared" si="16"/>
        <v>1010810</v>
      </c>
      <c r="V61" s="871">
        <f t="shared" si="4"/>
        <v>129490</v>
      </c>
      <c r="W61" s="871">
        <f t="shared" si="12"/>
        <v>299390</v>
      </c>
      <c r="X61" s="871">
        <f t="shared" si="13"/>
        <v>228110</v>
      </c>
      <c r="Y61" s="869">
        <f t="shared" si="44"/>
        <v>2950900</v>
      </c>
      <c r="Z61" s="872">
        <f t="shared" si="35"/>
        <v>5327020</v>
      </c>
      <c r="AA61" s="1153">
        <f>SUM(Z61,Z62,R61,R62,I61,I62)</f>
        <v>44204260</v>
      </c>
      <c r="AB61" s="873">
        <f>220000*5</f>
        <v>1100000</v>
      </c>
      <c r="AC61" s="873">
        <f t="shared" si="15"/>
        <v>600000</v>
      </c>
      <c r="AD61" s="874">
        <f>SUM(AB61:AC62)</f>
        <v>3450000</v>
      </c>
      <c r="AE61" s="1151"/>
    </row>
    <row r="62" spans="1:31" s="1" customFormat="1" ht="24.95" customHeight="1" x14ac:dyDescent="0.15">
      <c r="A62" s="1431"/>
      <c r="B62" s="1431"/>
      <c r="C62" s="1431"/>
      <c r="D62" s="1433"/>
      <c r="E62" s="1433"/>
      <c r="F62" s="859">
        <v>2</v>
      </c>
      <c r="G62" s="855">
        <f>G61+1</f>
        <v>6</v>
      </c>
      <c r="H62" s="878">
        <v>2164000</v>
      </c>
      <c r="I62" s="865">
        <f t="shared" si="30"/>
        <v>4328000</v>
      </c>
      <c r="J62" s="866">
        <f t="shared" si="45"/>
        <v>1298400</v>
      </c>
      <c r="K62" s="867"/>
      <c r="L62" s="875">
        <f t="shared" si="32"/>
        <v>15530</v>
      </c>
      <c r="M62" s="869">
        <f t="shared" si="40"/>
        <v>1242400</v>
      </c>
      <c r="N62" s="869">
        <v>120</v>
      </c>
      <c r="O62" s="869">
        <f t="shared" si="47"/>
        <v>1863600</v>
      </c>
      <c r="P62" s="869"/>
      <c r="Q62" s="869"/>
      <c r="R62" s="870">
        <f t="shared" si="1"/>
        <v>4404400</v>
      </c>
      <c r="S62" s="871">
        <f t="shared" si="2"/>
        <v>727700</v>
      </c>
      <c r="T62" s="871">
        <f t="shared" si="11"/>
        <v>392960</v>
      </c>
      <c r="U62" s="871">
        <f t="shared" si="16"/>
        <v>309570</v>
      </c>
      <c r="V62" s="871">
        <f t="shared" si="4"/>
        <v>39660</v>
      </c>
      <c r="W62" s="871">
        <f t="shared" si="12"/>
        <v>91690</v>
      </c>
      <c r="X62" s="871">
        <f t="shared" si="13"/>
        <v>69860</v>
      </c>
      <c r="Y62" s="869">
        <f t="shared" si="44"/>
        <v>903740</v>
      </c>
      <c r="Z62" s="872">
        <f t="shared" si="35"/>
        <v>1631440</v>
      </c>
      <c r="AA62" s="1154"/>
      <c r="AB62" s="881">
        <f>250000*7</f>
        <v>1750000</v>
      </c>
      <c r="AC62" s="876"/>
      <c r="AD62" s="877"/>
      <c r="AE62" s="1152"/>
    </row>
    <row r="63" spans="1:31" s="1" customFormat="1" ht="24.95" customHeight="1" x14ac:dyDescent="0.15">
      <c r="A63" s="1430">
        <v>30</v>
      </c>
      <c r="B63" s="1430" t="s">
        <v>193</v>
      </c>
      <c r="C63" s="1430" t="s">
        <v>1186</v>
      </c>
      <c r="D63" s="1432">
        <v>3</v>
      </c>
      <c r="E63" s="1432">
        <f>F63+F64</f>
        <v>12</v>
      </c>
      <c r="F63" s="854">
        <v>2</v>
      </c>
      <c r="G63" s="855" t="s">
        <v>1176</v>
      </c>
      <c r="H63" s="878">
        <v>2036000</v>
      </c>
      <c r="I63" s="865">
        <f t="shared" si="30"/>
        <v>4072000</v>
      </c>
      <c r="J63" s="866">
        <f t="shared" si="45"/>
        <v>1221600</v>
      </c>
      <c r="K63" s="867">
        <f>40000*12</f>
        <v>480000</v>
      </c>
      <c r="L63" s="868">
        <f t="shared" si="32"/>
        <v>14610</v>
      </c>
      <c r="M63" s="869">
        <f t="shared" si="40"/>
        <v>1168800</v>
      </c>
      <c r="N63" s="869"/>
      <c r="O63" s="869"/>
      <c r="P63" s="869"/>
      <c r="Q63" s="869"/>
      <c r="R63" s="870">
        <f t="shared" si="1"/>
        <v>2870400</v>
      </c>
      <c r="S63" s="871">
        <f t="shared" si="2"/>
        <v>578540</v>
      </c>
      <c r="T63" s="871">
        <f t="shared" si="11"/>
        <v>312410</v>
      </c>
      <c r="U63" s="871">
        <f t="shared" si="16"/>
        <v>246110</v>
      </c>
      <c r="V63" s="871">
        <f t="shared" si="4"/>
        <v>31530</v>
      </c>
      <c r="W63" s="871">
        <f t="shared" si="12"/>
        <v>72900</v>
      </c>
      <c r="X63" s="871">
        <f t="shared" si="13"/>
        <v>55540</v>
      </c>
      <c r="Y63" s="869">
        <f t="shared" si="44"/>
        <v>718490</v>
      </c>
      <c r="Z63" s="872">
        <f t="shared" si="35"/>
        <v>1297030</v>
      </c>
      <c r="AA63" s="1153">
        <f>SUM(Z63,Z64,R63,R64,I63,I64)</f>
        <v>43939840</v>
      </c>
      <c r="AB63" s="873">
        <f>200000*12</f>
        <v>2400000</v>
      </c>
      <c r="AC63" s="873">
        <f t="shared" si="15"/>
        <v>600000</v>
      </c>
      <c r="AD63" s="874">
        <f>SUM(AB63:AC64)</f>
        <v>3000000</v>
      </c>
      <c r="AE63" s="1151"/>
    </row>
    <row r="64" spans="1:31" s="1" customFormat="1" ht="24.95" customHeight="1" x14ac:dyDescent="0.15">
      <c r="A64" s="1431"/>
      <c r="B64" s="1431"/>
      <c r="C64" s="1431"/>
      <c r="D64" s="1433"/>
      <c r="E64" s="1433"/>
      <c r="F64" s="859">
        <v>10</v>
      </c>
      <c r="G64" s="855">
        <f>G63+1</f>
        <v>5</v>
      </c>
      <c r="H64" s="878">
        <v>2099000</v>
      </c>
      <c r="I64" s="865">
        <f t="shared" si="30"/>
        <v>20990000</v>
      </c>
      <c r="J64" s="866">
        <f t="shared" si="45"/>
        <v>1259400</v>
      </c>
      <c r="K64" s="867"/>
      <c r="L64" s="875">
        <f t="shared" si="32"/>
        <v>15060</v>
      </c>
      <c r="M64" s="869">
        <f t="shared" si="40"/>
        <v>6024000</v>
      </c>
      <c r="N64" s="869">
        <v>120</v>
      </c>
      <c r="O64" s="869">
        <f t="shared" ref="O64" si="48">N64*L64</f>
        <v>1807200</v>
      </c>
      <c r="P64" s="869"/>
      <c r="Q64" s="869"/>
      <c r="R64" s="870">
        <f t="shared" si="1"/>
        <v>9090600</v>
      </c>
      <c r="S64" s="871">
        <f t="shared" si="2"/>
        <v>2506720</v>
      </c>
      <c r="T64" s="871">
        <f t="shared" si="11"/>
        <v>1353630</v>
      </c>
      <c r="U64" s="871">
        <f t="shared" si="16"/>
        <v>1066360</v>
      </c>
      <c r="V64" s="871">
        <f t="shared" si="4"/>
        <v>136610</v>
      </c>
      <c r="W64" s="871">
        <f t="shared" si="12"/>
        <v>315850</v>
      </c>
      <c r="X64" s="871">
        <f t="shared" si="13"/>
        <v>240640</v>
      </c>
      <c r="Y64" s="869">
        <f t="shared" si="44"/>
        <v>3113090</v>
      </c>
      <c r="Z64" s="872">
        <f t="shared" si="35"/>
        <v>5619810</v>
      </c>
      <c r="AA64" s="1154"/>
      <c r="AB64" s="876"/>
      <c r="AC64" s="876"/>
      <c r="AD64" s="877"/>
      <c r="AE64" s="1152"/>
    </row>
    <row r="65" spans="1:31" s="1" customFormat="1" ht="24.95" customHeight="1" x14ac:dyDescent="0.15">
      <c r="A65" s="1430">
        <v>31</v>
      </c>
      <c r="B65" s="1430" t="s">
        <v>193</v>
      </c>
      <c r="C65" s="1430" t="s">
        <v>1187</v>
      </c>
      <c r="D65" s="1432">
        <v>2</v>
      </c>
      <c r="E65" s="1432">
        <f>F65+F66</f>
        <v>12</v>
      </c>
      <c r="F65" s="854">
        <v>1</v>
      </c>
      <c r="G65" s="855" t="s">
        <v>1188</v>
      </c>
      <c r="H65" s="878">
        <v>2099000</v>
      </c>
      <c r="I65" s="865">
        <f t="shared" si="30"/>
        <v>2099000</v>
      </c>
      <c r="J65" s="866">
        <f t="shared" si="45"/>
        <v>1259400</v>
      </c>
      <c r="K65" s="867"/>
      <c r="L65" s="868">
        <f t="shared" si="32"/>
        <v>15060</v>
      </c>
      <c r="M65" s="869">
        <f t="shared" si="40"/>
        <v>602400</v>
      </c>
      <c r="N65" s="869"/>
      <c r="O65" s="869"/>
      <c r="P65" s="869"/>
      <c r="Q65" s="869"/>
      <c r="R65" s="870">
        <f t="shared" si="1"/>
        <v>1861800</v>
      </c>
      <c r="S65" s="871">
        <f t="shared" si="2"/>
        <v>330070</v>
      </c>
      <c r="T65" s="871">
        <f t="shared" si="11"/>
        <v>178240</v>
      </c>
      <c r="U65" s="871">
        <f t="shared" si="16"/>
        <v>140420</v>
      </c>
      <c r="V65" s="871">
        <f t="shared" si="4"/>
        <v>17990</v>
      </c>
      <c r="W65" s="871">
        <f t="shared" si="12"/>
        <v>41590</v>
      </c>
      <c r="X65" s="871">
        <f t="shared" si="13"/>
        <v>31690</v>
      </c>
      <c r="Y65" s="869">
        <f t="shared" si="44"/>
        <v>409930</v>
      </c>
      <c r="Z65" s="872">
        <f t="shared" si="35"/>
        <v>740000</v>
      </c>
      <c r="AA65" s="1153">
        <f>SUM(Z65,Z66,R65,R66,I65,I66)</f>
        <v>44814520</v>
      </c>
      <c r="AB65" s="873">
        <f>200000*12</f>
        <v>2400000</v>
      </c>
      <c r="AC65" s="873">
        <f t="shared" si="15"/>
        <v>600000</v>
      </c>
      <c r="AD65" s="874">
        <f>SUM(AB65:AC66)</f>
        <v>3000000</v>
      </c>
      <c r="AE65" s="1151"/>
    </row>
    <row r="66" spans="1:31" s="1" customFormat="1" ht="24.95" customHeight="1" x14ac:dyDescent="0.15">
      <c r="A66" s="1431"/>
      <c r="B66" s="1431"/>
      <c r="C66" s="1431"/>
      <c r="D66" s="1433"/>
      <c r="E66" s="1433"/>
      <c r="F66" s="859">
        <v>11</v>
      </c>
      <c r="G66" s="855">
        <f>G65+1</f>
        <v>6</v>
      </c>
      <c r="H66" s="878">
        <v>2164000</v>
      </c>
      <c r="I66" s="865">
        <f t="shared" si="30"/>
        <v>23804000</v>
      </c>
      <c r="J66" s="866">
        <f t="shared" si="45"/>
        <v>1298400</v>
      </c>
      <c r="K66" s="867"/>
      <c r="L66" s="875">
        <f t="shared" si="32"/>
        <v>15530</v>
      </c>
      <c r="M66" s="869">
        <f t="shared" si="40"/>
        <v>6833200</v>
      </c>
      <c r="N66" s="869">
        <v>120</v>
      </c>
      <c r="O66" s="869">
        <f t="shared" ref="O66" si="49">N66*L66</f>
        <v>1863600</v>
      </c>
      <c r="P66" s="869"/>
      <c r="Q66" s="869"/>
      <c r="R66" s="870">
        <f t="shared" si="1"/>
        <v>9995200</v>
      </c>
      <c r="S66" s="871">
        <f t="shared" si="2"/>
        <v>2816600</v>
      </c>
      <c r="T66" s="871">
        <f t="shared" si="11"/>
        <v>1520960</v>
      </c>
      <c r="U66" s="871">
        <f t="shared" si="16"/>
        <v>1198190</v>
      </c>
      <c r="V66" s="871">
        <f t="shared" si="4"/>
        <v>153490</v>
      </c>
      <c r="W66" s="871">
        <f t="shared" si="12"/>
        <v>354890</v>
      </c>
      <c r="X66" s="871">
        <f t="shared" si="13"/>
        <v>270390</v>
      </c>
      <c r="Y66" s="869">
        <f t="shared" si="44"/>
        <v>3497920</v>
      </c>
      <c r="Z66" s="872">
        <f t="shared" si="35"/>
        <v>6314520</v>
      </c>
      <c r="AA66" s="1154"/>
      <c r="AB66" s="876"/>
      <c r="AC66" s="876"/>
      <c r="AD66" s="877"/>
      <c r="AE66" s="1152"/>
    </row>
    <row r="67" spans="1:31" s="1" customFormat="1" ht="24.95" customHeight="1" x14ac:dyDescent="0.15">
      <c r="A67" s="1430">
        <v>32</v>
      </c>
      <c r="B67" s="1430" t="s">
        <v>193</v>
      </c>
      <c r="C67" s="1430" t="s">
        <v>314</v>
      </c>
      <c r="D67" s="1432">
        <v>1</v>
      </c>
      <c r="E67" s="1432">
        <f>F67+F68</f>
        <v>12</v>
      </c>
      <c r="F67" s="854">
        <v>12</v>
      </c>
      <c r="G67" s="855" t="s">
        <v>184</v>
      </c>
      <c r="H67" s="878">
        <v>2164000</v>
      </c>
      <c r="I67" s="865">
        <f t="shared" si="30"/>
        <v>25968000</v>
      </c>
      <c r="J67" s="866">
        <f>H67*60%*2</f>
        <v>2596800</v>
      </c>
      <c r="K67" s="867">
        <f>60000*12</f>
        <v>720000</v>
      </c>
      <c r="L67" s="868">
        <f t="shared" si="32"/>
        <v>15530</v>
      </c>
      <c r="M67" s="869">
        <f t="shared" si="40"/>
        <v>7454400</v>
      </c>
      <c r="N67" s="869">
        <v>120</v>
      </c>
      <c r="O67" s="869">
        <f>N67*L67</f>
        <v>1863600</v>
      </c>
      <c r="P67" s="869"/>
      <c r="Q67" s="869"/>
      <c r="R67" s="870">
        <f t="shared" si="1"/>
        <v>12634800</v>
      </c>
      <c r="S67" s="871">
        <f t="shared" si="2"/>
        <v>3216900</v>
      </c>
      <c r="T67" s="871">
        <f t="shared" si="11"/>
        <v>1737130</v>
      </c>
      <c r="U67" s="871">
        <f t="shared" si="16"/>
        <v>1368470</v>
      </c>
      <c r="V67" s="871">
        <f t="shared" si="4"/>
        <v>175310</v>
      </c>
      <c r="W67" s="871">
        <f t="shared" si="12"/>
        <v>405330</v>
      </c>
      <c r="X67" s="871">
        <f t="shared" si="13"/>
        <v>308820</v>
      </c>
      <c r="Y67" s="869">
        <f t="shared" si="44"/>
        <v>3995060</v>
      </c>
      <c r="Z67" s="872">
        <f t="shared" si="35"/>
        <v>7211960</v>
      </c>
      <c r="AA67" s="1153">
        <f>SUM(Z67,Z68,R67,R68,I67,I68)</f>
        <v>45814760</v>
      </c>
      <c r="AB67" s="873">
        <f>200000*12</f>
        <v>2400000</v>
      </c>
      <c r="AC67" s="873">
        <f t="shared" si="15"/>
        <v>600000</v>
      </c>
      <c r="AD67" s="874">
        <f>SUM(AB67:AC68)</f>
        <v>3000000</v>
      </c>
      <c r="AE67" s="1151"/>
    </row>
    <row r="68" spans="1:31" s="1" customFormat="1" ht="24.95" customHeight="1" x14ac:dyDescent="0.15">
      <c r="A68" s="1431"/>
      <c r="B68" s="1431"/>
      <c r="C68" s="1431"/>
      <c r="D68" s="1433"/>
      <c r="E68" s="1433"/>
      <c r="F68" s="859"/>
      <c r="G68" s="855"/>
      <c r="H68" s="878"/>
      <c r="I68" s="865">
        <f t="shared" si="30"/>
        <v>0</v>
      </c>
      <c r="J68" s="866">
        <f t="shared" ref="J68:J72" si="50">H68*60%</f>
        <v>0</v>
      </c>
      <c r="K68" s="867"/>
      <c r="L68" s="875">
        <f t="shared" si="32"/>
        <v>0</v>
      </c>
      <c r="M68" s="869">
        <f t="shared" si="40"/>
        <v>0</v>
      </c>
      <c r="N68" s="869"/>
      <c r="O68" s="869">
        <f t="shared" ref="O68" si="51">N68*L68</f>
        <v>0</v>
      </c>
      <c r="P68" s="869"/>
      <c r="Q68" s="869"/>
      <c r="R68" s="870">
        <f t="shared" si="1"/>
        <v>0</v>
      </c>
      <c r="S68" s="871">
        <f t="shared" si="2"/>
        <v>0</v>
      </c>
      <c r="T68" s="871">
        <f t="shared" si="11"/>
        <v>0</v>
      </c>
      <c r="U68" s="871">
        <f t="shared" si="16"/>
        <v>0</v>
      </c>
      <c r="V68" s="871">
        <f t="shared" si="4"/>
        <v>0</v>
      </c>
      <c r="W68" s="871">
        <f t="shared" si="12"/>
        <v>0</v>
      </c>
      <c r="X68" s="871">
        <f t="shared" si="13"/>
        <v>0</v>
      </c>
      <c r="Y68" s="869">
        <f t="shared" si="44"/>
        <v>0</v>
      </c>
      <c r="Z68" s="872">
        <f t="shared" si="35"/>
        <v>0</v>
      </c>
      <c r="AA68" s="1154"/>
      <c r="AB68" s="876"/>
      <c r="AC68" s="876"/>
      <c r="AD68" s="877"/>
      <c r="AE68" s="1152"/>
    </row>
    <row r="69" spans="1:31" s="1" customFormat="1" ht="24.95" customHeight="1" x14ac:dyDescent="0.15">
      <c r="A69" s="1430">
        <v>33</v>
      </c>
      <c r="B69" s="1430" t="s">
        <v>193</v>
      </c>
      <c r="C69" s="1430" t="s">
        <v>214</v>
      </c>
      <c r="D69" s="1432">
        <v>2</v>
      </c>
      <c r="E69" s="1432">
        <f>F69+F70</f>
        <v>12</v>
      </c>
      <c r="F69" s="854">
        <v>1</v>
      </c>
      <c r="G69" s="855" t="s">
        <v>1189</v>
      </c>
      <c r="H69" s="878">
        <v>2164000</v>
      </c>
      <c r="I69" s="865">
        <f t="shared" si="30"/>
        <v>2164000</v>
      </c>
      <c r="J69" s="866">
        <f t="shared" si="50"/>
        <v>1298400</v>
      </c>
      <c r="K69" s="867"/>
      <c r="L69" s="868">
        <f t="shared" si="32"/>
        <v>15530</v>
      </c>
      <c r="M69" s="869">
        <f>(L69*40)*F69</f>
        <v>621200</v>
      </c>
      <c r="N69" s="869">
        <v>120</v>
      </c>
      <c r="O69" s="869">
        <f>N69*L69</f>
        <v>1863600</v>
      </c>
      <c r="P69" s="869"/>
      <c r="Q69" s="869"/>
      <c r="R69" s="870">
        <f t="shared" si="1"/>
        <v>3783200</v>
      </c>
      <c r="S69" s="871">
        <f t="shared" si="2"/>
        <v>495600</v>
      </c>
      <c r="T69" s="871">
        <f t="shared" si="11"/>
        <v>267620</v>
      </c>
      <c r="U69" s="871">
        <f t="shared" si="16"/>
        <v>210830</v>
      </c>
      <c r="V69" s="871">
        <f t="shared" si="4"/>
        <v>27010</v>
      </c>
      <c r="W69" s="871">
        <f t="shared" si="12"/>
        <v>62450</v>
      </c>
      <c r="X69" s="871">
        <f t="shared" si="13"/>
        <v>47580</v>
      </c>
      <c r="Y69" s="869">
        <f t="shared" si="44"/>
        <v>615490</v>
      </c>
      <c r="Z69" s="872">
        <f t="shared" si="35"/>
        <v>1111090</v>
      </c>
      <c r="AA69" s="1153">
        <f>SUM(Z69,Z70,R69,R70,I69,I70)</f>
        <v>46185060</v>
      </c>
      <c r="AB69" s="873">
        <f>250000*12</f>
        <v>3000000</v>
      </c>
      <c r="AC69" s="873">
        <f t="shared" si="15"/>
        <v>600000</v>
      </c>
      <c r="AD69" s="874">
        <f>SUM(AB69:AC70)</f>
        <v>3600000</v>
      </c>
      <c r="AE69" s="1151"/>
    </row>
    <row r="70" spans="1:31" s="1" customFormat="1" ht="24.95" customHeight="1" x14ac:dyDescent="0.15">
      <c r="A70" s="1431"/>
      <c r="B70" s="1431"/>
      <c r="C70" s="1431"/>
      <c r="D70" s="1433"/>
      <c r="E70" s="1433"/>
      <c r="F70" s="859">
        <v>11</v>
      </c>
      <c r="G70" s="855">
        <f>G69+1</f>
        <v>7</v>
      </c>
      <c r="H70" s="878">
        <v>2234000</v>
      </c>
      <c r="I70" s="865">
        <f t="shared" si="30"/>
        <v>24574000</v>
      </c>
      <c r="J70" s="866">
        <f t="shared" si="50"/>
        <v>1340400</v>
      </c>
      <c r="K70" s="867"/>
      <c r="L70" s="875">
        <f t="shared" si="32"/>
        <v>16030</v>
      </c>
      <c r="M70" s="869">
        <f>(L70*40)*F70</f>
        <v>7053200</v>
      </c>
      <c r="N70" s="869"/>
      <c r="O70" s="869">
        <f t="shared" ref="O70" si="52">N70*L70</f>
        <v>0</v>
      </c>
      <c r="P70" s="869"/>
      <c r="Q70" s="869"/>
      <c r="R70" s="870">
        <f t="shared" ref="R70:R98" si="53">SUM(J70,K70,M70,O70,P70)</f>
        <v>8393600</v>
      </c>
      <c r="S70" s="871">
        <f t="shared" ref="S70:S100" si="54">ROUNDUP((I70+J70+K70+M70+O70+P70+Q70)*1/12,-1)</f>
        <v>2747300</v>
      </c>
      <c r="T70" s="871">
        <f t="shared" si="11"/>
        <v>1483540</v>
      </c>
      <c r="U70" s="871">
        <f t="shared" si="16"/>
        <v>1168710</v>
      </c>
      <c r="V70" s="871">
        <f t="shared" ref="V70:V100" si="55">ROUNDUP(U70*12.81%,-1)</f>
        <v>149720</v>
      </c>
      <c r="W70" s="871">
        <f t="shared" si="12"/>
        <v>346160</v>
      </c>
      <c r="X70" s="871">
        <f t="shared" si="13"/>
        <v>263740</v>
      </c>
      <c r="Y70" s="869">
        <f t="shared" si="44"/>
        <v>3411870</v>
      </c>
      <c r="Z70" s="872">
        <f t="shared" si="35"/>
        <v>6159170</v>
      </c>
      <c r="AA70" s="1154"/>
      <c r="AB70" s="876"/>
      <c r="AC70" s="876"/>
      <c r="AD70" s="877"/>
      <c r="AE70" s="1152"/>
    </row>
    <row r="71" spans="1:31" s="1" customFormat="1" ht="24.95" customHeight="1" x14ac:dyDescent="0.15">
      <c r="A71" s="1430">
        <v>34</v>
      </c>
      <c r="B71" s="1430" t="s">
        <v>193</v>
      </c>
      <c r="C71" s="1430" t="s">
        <v>1190</v>
      </c>
      <c r="D71" s="1432">
        <v>6</v>
      </c>
      <c r="E71" s="1432">
        <f>F71+F72</f>
        <v>12</v>
      </c>
      <c r="F71" s="854">
        <v>5</v>
      </c>
      <c r="G71" s="855" t="s">
        <v>1172</v>
      </c>
      <c r="H71" s="878">
        <v>2396000</v>
      </c>
      <c r="I71" s="865">
        <f t="shared" si="30"/>
        <v>11980000</v>
      </c>
      <c r="J71" s="866">
        <f t="shared" si="50"/>
        <v>1437600</v>
      </c>
      <c r="K71" s="867"/>
      <c r="L71" s="868">
        <f t="shared" si="32"/>
        <v>17200</v>
      </c>
      <c r="M71" s="869">
        <f t="shared" ref="M71:M72" si="56">(L71*40)*F71</f>
        <v>3440000</v>
      </c>
      <c r="N71" s="869"/>
      <c r="O71" s="869"/>
      <c r="P71" s="869"/>
      <c r="Q71" s="869"/>
      <c r="R71" s="870">
        <f t="shared" si="53"/>
        <v>4877600</v>
      </c>
      <c r="S71" s="871">
        <f t="shared" si="54"/>
        <v>1404800</v>
      </c>
      <c r="T71" s="871">
        <f t="shared" si="11"/>
        <v>758590</v>
      </c>
      <c r="U71" s="871">
        <f t="shared" si="16"/>
        <v>597610</v>
      </c>
      <c r="V71" s="871">
        <f t="shared" si="55"/>
        <v>76560</v>
      </c>
      <c r="W71" s="871">
        <f t="shared" si="12"/>
        <v>177000</v>
      </c>
      <c r="X71" s="871">
        <f t="shared" si="13"/>
        <v>134860</v>
      </c>
      <c r="Y71" s="869">
        <f t="shared" si="44"/>
        <v>1744620</v>
      </c>
      <c r="Z71" s="872">
        <f t="shared" si="35"/>
        <v>3149420</v>
      </c>
      <c r="AA71" s="1153">
        <f>SUM(Z71,Z72,R71,R72,I71,I72)</f>
        <v>50798960</v>
      </c>
      <c r="AB71" s="873">
        <f>250000*12</f>
        <v>3000000</v>
      </c>
      <c r="AC71" s="873">
        <f t="shared" ref="AC71:AC99" si="57">50000*12</f>
        <v>600000</v>
      </c>
      <c r="AD71" s="874">
        <f>SUM(AB71:AC72)</f>
        <v>3600000</v>
      </c>
      <c r="AE71" s="1151"/>
    </row>
    <row r="72" spans="1:31" s="1" customFormat="1" ht="24.95" customHeight="1" x14ac:dyDescent="0.15">
      <c r="A72" s="1431"/>
      <c r="B72" s="1431"/>
      <c r="C72" s="1431"/>
      <c r="D72" s="1433"/>
      <c r="E72" s="1433"/>
      <c r="F72" s="859">
        <v>7</v>
      </c>
      <c r="G72" s="855">
        <f>G71+1</f>
        <v>10</v>
      </c>
      <c r="H72" s="878">
        <v>2478000</v>
      </c>
      <c r="I72" s="865">
        <f t="shared" si="30"/>
        <v>17346000</v>
      </c>
      <c r="J72" s="866">
        <f t="shared" si="50"/>
        <v>1486800</v>
      </c>
      <c r="K72" s="867"/>
      <c r="L72" s="875">
        <f t="shared" si="32"/>
        <v>17780</v>
      </c>
      <c r="M72" s="869">
        <f t="shared" si="56"/>
        <v>4978400</v>
      </c>
      <c r="N72" s="869">
        <v>120</v>
      </c>
      <c r="O72" s="869">
        <f t="shared" ref="O72:O73" si="58">N72*L72</f>
        <v>2133600</v>
      </c>
      <c r="P72" s="869"/>
      <c r="Q72" s="869"/>
      <c r="R72" s="870">
        <f t="shared" si="53"/>
        <v>8598800</v>
      </c>
      <c r="S72" s="871">
        <f t="shared" si="54"/>
        <v>2162070</v>
      </c>
      <c r="T72" s="871">
        <f t="shared" ref="T72:T100" si="59">ROUND((I72+J72+K72+M72+O72+P72)*4.5%,-1)</f>
        <v>1167520</v>
      </c>
      <c r="U72" s="871">
        <f t="shared" si="16"/>
        <v>919750</v>
      </c>
      <c r="V72" s="871">
        <f t="shared" si="55"/>
        <v>117820</v>
      </c>
      <c r="W72" s="871">
        <f t="shared" ref="W72:W100" si="60">ROUND((I72+J72+K72+M72+O72+P72)*1.05%,-1)</f>
        <v>272420</v>
      </c>
      <c r="X72" s="871">
        <f t="shared" ref="X72:X100" si="61">ROUND((I72+J72+K72+M72+O72+P72)*0.8%,-1)</f>
        <v>207560</v>
      </c>
      <c r="Y72" s="869">
        <f t="shared" si="44"/>
        <v>2685070</v>
      </c>
      <c r="Z72" s="872">
        <f t="shared" si="35"/>
        <v>4847140</v>
      </c>
      <c r="AA72" s="1154"/>
      <c r="AB72" s="876"/>
      <c r="AC72" s="876"/>
      <c r="AD72" s="877"/>
      <c r="AE72" s="1152"/>
    </row>
    <row r="73" spans="1:31" s="1" customFormat="1" ht="24.95" customHeight="1" x14ac:dyDescent="0.15">
      <c r="A73" s="1430">
        <v>35</v>
      </c>
      <c r="B73" s="1430" t="s">
        <v>193</v>
      </c>
      <c r="C73" s="1430" t="s">
        <v>1191</v>
      </c>
      <c r="D73" s="1432">
        <v>8</v>
      </c>
      <c r="E73" s="1432">
        <f>F73+F74</f>
        <v>12</v>
      </c>
      <c r="F73" s="854">
        <v>7</v>
      </c>
      <c r="G73" s="855" t="s">
        <v>208</v>
      </c>
      <c r="H73" s="878">
        <v>2234000</v>
      </c>
      <c r="I73" s="865">
        <f t="shared" ref="I73:I84" si="62">H73*F73</f>
        <v>15638000</v>
      </c>
      <c r="J73" s="866">
        <f t="shared" ref="J73:J74" si="63">H73*60%</f>
        <v>1340400</v>
      </c>
      <c r="K73" s="867"/>
      <c r="L73" s="868">
        <f t="shared" ref="L73:L88" si="64">ROUND(H73*1/209*1.5,-1)</f>
        <v>16030</v>
      </c>
      <c r="M73" s="869">
        <f t="shared" ref="M73:M82" si="65">(L73*40)*F73</f>
        <v>4488400</v>
      </c>
      <c r="N73" s="869"/>
      <c r="O73" s="869">
        <f t="shared" si="58"/>
        <v>0</v>
      </c>
      <c r="P73" s="869"/>
      <c r="Q73" s="869"/>
      <c r="R73" s="870">
        <f t="shared" si="53"/>
        <v>5828800</v>
      </c>
      <c r="S73" s="871">
        <f t="shared" si="54"/>
        <v>1788900</v>
      </c>
      <c r="T73" s="871">
        <f t="shared" si="59"/>
        <v>966010</v>
      </c>
      <c r="U73" s="871">
        <f t="shared" si="16"/>
        <v>761000</v>
      </c>
      <c r="V73" s="871">
        <f t="shared" si="55"/>
        <v>97490</v>
      </c>
      <c r="W73" s="871">
        <f t="shared" si="60"/>
        <v>225400</v>
      </c>
      <c r="X73" s="871">
        <f t="shared" si="61"/>
        <v>171730</v>
      </c>
      <c r="Y73" s="869">
        <f t="shared" ref="Y73:Y88" si="66">SUM(T73:X73)</f>
        <v>2221630</v>
      </c>
      <c r="Z73" s="872">
        <f t="shared" ref="Z73:Z88" si="67">SUM(S73,Y73)</f>
        <v>4010530</v>
      </c>
      <c r="AA73" s="1068">
        <f>SUM(Z73,Z74,R73,R74,I73,I74)</f>
        <v>47126920</v>
      </c>
      <c r="AB73" s="873">
        <f t="shared" ref="AB73" si="68">250000*12</f>
        <v>3000000</v>
      </c>
      <c r="AC73" s="873">
        <f t="shared" si="57"/>
        <v>600000</v>
      </c>
      <c r="AD73" s="874">
        <f>SUM(AB73:AC74)</f>
        <v>3600000</v>
      </c>
      <c r="AE73" s="1070"/>
    </row>
    <row r="74" spans="1:31" s="1" customFormat="1" ht="24.95" customHeight="1" x14ac:dyDescent="0.15">
      <c r="A74" s="1431"/>
      <c r="B74" s="1431"/>
      <c r="C74" s="1431"/>
      <c r="D74" s="1433"/>
      <c r="E74" s="1433"/>
      <c r="F74" s="859">
        <v>5</v>
      </c>
      <c r="G74" s="855">
        <f>G73+1</f>
        <v>8</v>
      </c>
      <c r="H74" s="878">
        <v>2310000</v>
      </c>
      <c r="I74" s="865">
        <f t="shared" si="62"/>
        <v>11550000</v>
      </c>
      <c r="J74" s="866">
        <f t="shared" si="63"/>
        <v>1386000</v>
      </c>
      <c r="K74" s="867"/>
      <c r="L74" s="875">
        <f t="shared" si="64"/>
        <v>16580</v>
      </c>
      <c r="M74" s="869">
        <f t="shared" si="65"/>
        <v>3316000</v>
      </c>
      <c r="N74" s="869">
        <v>120</v>
      </c>
      <c r="O74" s="869">
        <f t="shared" ref="O74" si="69">N74*L74</f>
        <v>1989600</v>
      </c>
      <c r="P74" s="869"/>
      <c r="Q74" s="869"/>
      <c r="R74" s="870">
        <f t="shared" si="53"/>
        <v>6691600</v>
      </c>
      <c r="S74" s="871">
        <f t="shared" si="54"/>
        <v>1520140</v>
      </c>
      <c r="T74" s="871">
        <f t="shared" si="59"/>
        <v>820870</v>
      </c>
      <c r="U74" s="871">
        <f t="shared" si="16"/>
        <v>646670</v>
      </c>
      <c r="V74" s="871">
        <f t="shared" si="55"/>
        <v>82840</v>
      </c>
      <c r="W74" s="871">
        <f t="shared" si="60"/>
        <v>191540</v>
      </c>
      <c r="X74" s="871">
        <f t="shared" si="61"/>
        <v>145930</v>
      </c>
      <c r="Y74" s="869">
        <f t="shared" si="66"/>
        <v>1887850</v>
      </c>
      <c r="Z74" s="872">
        <f t="shared" si="67"/>
        <v>3407990</v>
      </c>
      <c r="AA74" s="1069"/>
      <c r="AB74" s="876"/>
      <c r="AC74" s="876"/>
      <c r="AD74" s="877"/>
      <c r="AE74" s="1071"/>
    </row>
    <row r="75" spans="1:31" s="1" customFormat="1" ht="24.95" customHeight="1" x14ac:dyDescent="0.15">
      <c r="A75" s="1430">
        <v>36</v>
      </c>
      <c r="B75" s="1430" t="s">
        <v>193</v>
      </c>
      <c r="C75" s="1430" t="s">
        <v>1192</v>
      </c>
      <c r="D75" s="1432">
        <v>5</v>
      </c>
      <c r="E75" s="1432">
        <f>F75+F76</f>
        <v>12</v>
      </c>
      <c r="F75" s="854">
        <v>4</v>
      </c>
      <c r="G75" s="855" t="s">
        <v>208</v>
      </c>
      <c r="H75" s="878">
        <v>2234000</v>
      </c>
      <c r="I75" s="865">
        <f t="shared" si="62"/>
        <v>8936000</v>
      </c>
      <c r="J75" s="866">
        <f>H75*60%</f>
        <v>1340400</v>
      </c>
      <c r="K75" s="867">
        <f>20000*12</f>
        <v>240000</v>
      </c>
      <c r="L75" s="868">
        <f t="shared" si="64"/>
        <v>16030</v>
      </c>
      <c r="M75" s="869">
        <f t="shared" si="65"/>
        <v>2564800</v>
      </c>
      <c r="N75" s="869"/>
      <c r="O75" s="869"/>
      <c r="P75" s="869"/>
      <c r="Q75" s="869"/>
      <c r="R75" s="870">
        <f t="shared" si="53"/>
        <v>4145200</v>
      </c>
      <c r="S75" s="871">
        <f t="shared" si="54"/>
        <v>1090100</v>
      </c>
      <c r="T75" s="871">
        <f t="shared" si="59"/>
        <v>588650</v>
      </c>
      <c r="U75" s="871">
        <f t="shared" si="16"/>
        <v>463730</v>
      </c>
      <c r="V75" s="871">
        <f t="shared" si="55"/>
        <v>59410</v>
      </c>
      <c r="W75" s="871">
        <f t="shared" si="60"/>
        <v>137350</v>
      </c>
      <c r="X75" s="871">
        <f t="shared" si="61"/>
        <v>104650</v>
      </c>
      <c r="Y75" s="869">
        <f t="shared" si="66"/>
        <v>1353790</v>
      </c>
      <c r="Z75" s="872">
        <f t="shared" si="67"/>
        <v>2443890</v>
      </c>
      <c r="AA75" s="1068">
        <f>SUM(Z75,Z76,R75,R76,I75,I76)</f>
        <v>47760680</v>
      </c>
      <c r="AB75" s="873">
        <f t="shared" ref="AB75" si="70">250000*12</f>
        <v>3000000</v>
      </c>
      <c r="AC75" s="873">
        <f t="shared" si="57"/>
        <v>600000</v>
      </c>
      <c r="AD75" s="874">
        <f>SUM(AB75:AC76)</f>
        <v>3600000</v>
      </c>
      <c r="AE75" s="1070"/>
    </row>
    <row r="76" spans="1:31" s="1" customFormat="1" ht="24.95" customHeight="1" x14ac:dyDescent="0.15">
      <c r="A76" s="1431"/>
      <c r="B76" s="1431"/>
      <c r="C76" s="1431"/>
      <c r="D76" s="1433"/>
      <c r="E76" s="1433"/>
      <c r="F76" s="859">
        <v>8</v>
      </c>
      <c r="G76" s="855">
        <f>G75+1</f>
        <v>8</v>
      </c>
      <c r="H76" s="878">
        <v>2310000</v>
      </c>
      <c r="I76" s="865">
        <f t="shared" si="62"/>
        <v>18480000</v>
      </c>
      <c r="J76" s="866">
        <f>H76*60%</f>
        <v>1386000</v>
      </c>
      <c r="K76" s="867"/>
      <c r="L76" s="875">
        <f t="shared" si="64"/>
        <v>16580</v>
      </c>
      <c r="M76" s="869">
        <f t="shared" si="65"/>
        <v>5305600</v>
      </c>
      <c r="N76" s="869">
        <v>120</v>
      </c>
      <c r="O76" s="869">
        <f t="shared" ref="O76" si="71">N76*L76</f>
        <v>1989600</v>
      </c>
      <c r="P76" s="869"/>
      <c r="Q76" s="869"/>
      <c r="R76" s="870">
        <f t="shared" si="53"/>
        <v>8681200</v>
      </c>
      <c r="S76" s="871">
        <f t="shared" si="54"/>
        <v>2263440</v>
      </c>
      <c r="T76" s="871">
        <f t="shared" si="59"/>
        <v>1222250</v>
      </c>
      <c r="U76" s="871">
        <f t="shared" ref="U76:U100" si="72">ROUNDUP((I76+J76+K76+M76+O76+P76)*3.545%,-1)</f>
        <v>962870</v>
      </c>
      <c r="V76" s="871">
        <f t="shared" si="55"/>
        <v>123350</v>
      </c>
      <c r="W76" s="871">
        <f t="shared" si="60"/>
        <v>285190</v>
      </c>
      <c r="X76" s="871">
        <f t="shared" si="61"/>
        <v>217290</v>
      </c>
      <c r="Y76" s="869">
        <f t="shared" si="66"/>
        <v>2810950</v>
      </c>
      <c r="Z76" s="872">
        <f t="shared" si="67"/>
        <v>5074390</v>
      </c>
      <c r="AA76" s="1069"/>
      <c r="AB76" s="876"/>
      <c r="AC76" s="876"/>
      <c r="AD76" s="877"/>
      <c r="AE76" s="1071"/>
    </row>
    <row r="77" spans="1:31" s="1" customFormat="1" ht="24.95" customHeight="1" x14ac:dyDescent="0.15">
      <c r="A77" s="1430">
        <v>37</v>
      </c>
      <c r="B77" s="1430" t="s">
        <v>193</v>
      </c>
      <c r="C77" s="1430" t="s">
        <v>227</v>
      </c>
      <c r="D77" s="1432">
        <v>8</v>
      </c>
      <c r="E77" s="1432">
        <f>F77+F78</f>
        <v>12</v>
      </c>
      <c r="F77" s="854">
        <v>7</v>
      </c>
      <c r="G77" s="855" t="s">
        <v>198</v>
      </c>
      <c r="H77" s="878">
        <v>2310000</v>
      </c>
      <c r="I77" s="865">
        <f t="shared" si="62"/>
        <v>16170000</v>
      </c>
      <c r="J77" s="866">
        <f t="shared" ref="J77:J88" si="73">H77*60%</f>
        <v>1386000</v>
      </c>
      <c r="K77" s="867">
        <f>40000*12</f>
        <v>480000</v>
      </c>
      <c r="L77" s="868">
        <f t="shared" si="64"/>
        <v>16580</v>
      </c>
      <c r="M77" s="869">
        <f t="shared" si="65"/>
        <v>4642400</v>
      </c>
      <c r="N77" s="869"/>
      <c r="O77" s="869"/>
      <c r="P77" s="869"/>
      <c r="Q77" s="869"/>
      <c r="R77" s="870">
        <f t="shared" si="53"/>
        <v>6508400</v>
      </c>
      <c r="S77" s="871">
        <f t="shared" si="54"/>
        <v>1889870</v>
      </c>
      <c r="T77" s="871">
        <f t="shared" si="59"/>
        <v>1020530</v>
      </c>
      <c r="U77" s="871">
        <f t="shared" si="72"/>
        <v>803950</v>
      </c>
      <c r="V77" s="871">
        <f t="shared" si="55"/>
        <v>102990</v>
      </c>
      <c r="W77" s="871">
        <f t="shared" si="60"/>
        <v>238120</v>
      </c>
      <c r="X77" s="871">
        <f t="shared" si="61"/>
        <v>181430</v>
      </c>
      <c r="Y77" s="869">
        <f t="shared" si="66"/>
        <v>2347020</v>
      </c>
      <c r="Z77" s="872">
        <f t="shared" si="67"/>
        <v>4236890</v>
      </c>
      <c r="AA77" s="1068">
        <f>SUM(Z77,Z78,R77,R78,I77,I78)</f>
        <v>49371920</v>
      </c>
      <c r="AB77" s="873">
        <f>250000*12</f>
        <v>3000000</v>
      </c>
      <c r="AC77" s="873">
        <f t="shared" si="57"/>
        <v>600000</v>
      </c>
      <c r="AD77" s="874">
        <f>SUM(AB77:AC78)</f>
        <v>3600000</v>
      </c>
      <c r="AE77" s="1070"/>
    </row>
    <row r="78" spans="1:31" s="1" customFormat="1" ht="24.95" customHeight="1" x14ac:dyDescent="0.15">
      <c r="A78" s="1431"/>
      <c r="B78" s="1431"/>
      <c r="C78" s="1431"/>
      <c r="D78" s="1433"/>
      <c r="E78" s="1433"/>
      <c r="F78" s="859">
        <v>5</v>
      </c>
      <c r="G78" s="855">
        <f>G77+1</f>
        <v>9</v>
      </c>
      <c r="H78" s="878">
        <v>2396000</v>
      </c>
      <c r="I78" s="865">
        <f t="shared" si="62"/>
        <v>11980000</v>
      </c>
      <c r="J78" s="866">
        <f t="shared" si="73"/>
        <v>1437600</v>
      </c>
      <c r="K78" s="867"/>
      <c r="L78" s="875">
        <f t="shared" si="64"/>
        <v>17200</v>
      </c>
      <c r="M78" s="869">
        <f t="shared" si="65"/>
        <v>3440000</v>
      </c>
      <c r="N78" s="869">
        <v>120</v>
      </c>
      <c r="O78" s="869">
        <f t="shared" ref="O78" si="74">N78*L78</f>
        <v>2064000</v>
      </c>
      <c r="P78" s="869"/>
      <c r="Q78" s="869"/>
      <c r="R78" s="870">
        <f t="shared" si="53"/>
        <v>6941600</v>
      </c>
      <c r="S78" s="871">
        <f t="shared" si="54"/>
        <v>1576800</v>
      </c>
      <c r="T78" s="871">
        <f t="shared" si="59"/>
        <v>851470</v>
      </c>
      <c r="U78" s="871">
        <f t="shared" si="72"/>
        <v>670780</v>
      </c>
      <c r="V78" s="871">
        <f t="shared" si="55"/>
        <v>85930</v>
      </c>
      <c r="W78" s="871">
        <f t="shared" si="60"/>
        <v>198680</v>
      </c>
      <c r="X78" s="871">
        <f t="shared" si="61"/>
        <v>151370</v>
      </c>
      <c r="Y78" s="869">
        <f t="shared" si="66"/>
        <v>1958230</v>
      </c>
      <c r="Z78" s="872">
        <f t="shared" si="67"/>
        <v>3535030</v>
      </c>
      <c r="AA78" s="1069"/>
      <c r="AB78" s="876"/>
      <c r="AC78" s="876"/>
      <c r="AD78" s="877"/>
      <c r="AE78" s="1071"/>
    </row>
    <row r="79" spans="1:31" s="1" customFormat="1" ht="24.95" customHeight="1" x14ac:dyDescent="0.15">
      <c r="A79" s="1430">
        <v>38</v>
      </c>
      <c r="B79" s="1430" t="s">
        <v>193</v>
      </c>
      <c r="C79" s="1430" t="s">
        <v>971</v>
      </c>
      <c r="D79" s="1432">
        <v>11</v>
      </c>
      <c r="E79" s="1432">
        <f>F79+F80</f>
        <v>12</v>
      </c>
      <c r="F79" s="854">
        <v>10</v>
      </c>
      <c r="G79" s="855" t="s">
        <v>197</v>
      </c>
      <c r="H79" s="878">
        <v>2036000</v>
      </c>
      <c r="I79" s="865">
        <f t="shared" si="62"/>
        <v>20360000</v>
      </c>
      <c r="J79" s="866">
        <f>H79*60%*2</f>
        <v>2443200</v>
      </c>
      <c r="K79" s="867"/>
      <c r="L79" s="868">
        <f t="shared" si="64"/>
        <v>14610</v>
      </c>
      <c r="M79" s="869">
        <f t="shared" si="65"/>
        <v>5844000</v>
      </c>
      <c r="N79" s="869"/>
      <c r="O79" s="869"/>
      <c r="P79" s="869"/>
      <c r="Q79" s="869"/>
      <c r="R79" s="870">
        <f t="shared" si="53"/>
        <v>8287200</v>
      </c>
      <c r="S79" s="871">
        <f t="shared" si="54"/>
        <v>2387270</v>
      </c>
      <c r="T79" s="871">
        <f t="shared" si="59"/>
        <v>1289120</v>
      </c>
      <c r="U79" s="871">
        <f t="shared" si="72"/>
        <v>1015550</v>
      </c>
      <c r="V79" s="871">
        <f t="shared" si="55"/>
        <v>130100</v>
      </c>
      <c r="W79" s="871">
        <f t="shared" si="60"/>
        <v>300800</v>
      </c>
      <c r="X79" s="871">
        <f t="shared" si="61"/>
        <v>229180</v>
      </c>
      <c r="Y79" s="869">
        <f t="shared" si="66"/>
        <v>2964750</v>
      </c>
      <c r="Z79" s="872">
        <f t="shared" si="67"/>
        <v>5352020</v>
      </c>
      <c r="AA79" s="1068">
        <f>SUM(Z79,Z80,R79,R80,I79,I80)</f>
        <v>42556250</v>
      </c>
      <c r="AB79" s="873">
        <f>200000*12</f>
        <v>2400000</v>
      </c>
      <c r="AC79" s="873">
        <f t="shared" si="57"/>
        <v>600000</v>
      </c>
      <c r="AD79" s="874">
        <f>SUM(AB79:AC80)</f>
        <v>3000000</v>
      </c>
      <c r="AE79" s="1070"/>
    </row>
    <row r="80" spans="1:31" s="1" customFormat="1" ht="24.95" customHeight="1" x14ac:dyDescent="0.15">
      <c r="A80" s="1431"/>
      <c r="B80" s="1431"/>
      <c r="C80" s="1431"/>
      <c r="D80" s="1433"/>
      <c r="E80" s="1433"/>
      <c r="F80" s="859">
        <v>2</v>
      </c>
      <c r="G80" s="855">
        <f>G79+1</f>
        <v>5</v>
      </c>
      <c r="H80" s="878">
        <v>2099000</v>
      </c>
      <c r="I80" s="865">
        <f t="shared" si="62"/>
        <v>4198000</v>
      </c>
      <c r="J80" s="866"/>
      <c r="K80" s="867"/>
      <c r="L80" s="875">
        <f t="shared" si="64"/>
        <v>15060</v>
      </c>
      <c r="M80" s="869">
        <f t="shared" si="65"/>
        <v>1204800</v>
      </c>
      <c r="N80" s="869">
        <v>120</v>
      </c>
      <c r="O80" s="869">
        <f t="shared" ref="O80" si="75">N80*L80</f>
        <v>1807200</v>
      </c>
      <c r="P80" s="869"/>
      <c r="Q80" s="869"/>
      <c r="R80" s="870">
        <f t="shared" si="53"/>
        <v>3012000</v>
      </c>
      <c r="S80" s="871">
        <f t="shared" si="54"/>
        <v>600840</v>
      </c>
      <c r="T80" s="871">
        <f t="shared" si="59"/>
        <v>324450</v>
      </c>
      <c r="U80" s="871">
        <f t="shared" si="72"/>
        <v>255600</v>
      </c>
      <c r="V80" s="871">
        <f t="shared" si="55"/>
        <v>32750</v>
      </c>
      <c r="W80" s="871">
        <f t="shared" si="60"/>
        <v>75710</v>
      </c>
      <c r="X80" s="871">
        <f t="shared" si="61"/>
        <v>57680</v>
      </c>
      <c r="Y80" s="869">
        <f t="shared" si="66"/>
        <v>746190</v>
      </c>
      <c r="Z80" s="872">
        <f t="shared" si="67"/>
        <v>1347030</v>
      </c>
      <c r="AA80" s="1069"/>
      <c r="AB80" s="876"/>
      <c r="AC80" s="876"/>
      <c r="AD80" s="877"/>
      <c r="AE80" s="1071"/>
    </row>
    <row r="81" spans="1:31" s="1" customFormat="1" ht="24.95" customHeight="1" x14ac:dyDescent="0.15">
      <c r="A81" s="1430">
        <v>39</v>
      </c>
      <c r="B81" s="1430" t="s">
        <v>193</v>
      </c>
      <c r="C81" s="1430" t="s">
        <v>1193</v>
      </c>
      <c r="D81" s="1432">
        <v>8</v>
      </c>
      <c r="E81" s="1432">
        <f>F81+F82</f>
        <v>12</v>
      </c>
      <c r="F81" s="854">
        <v>7</v>
      </c>
      <c r="G81" s="855" t="s">
        <v>1159</v>
      </c>
      <c r="H81" s="878">
        <v>2730000</v>
      </c>
      <c r="I81" s="865">
        <f t="shared" si="62"/>
        <v>19110000</v>
      </c>
      <c r="J81" s="866">
        <f t="shared" si="73"/>
        <v>1638000</v>
      </c>
      <c r="K81" s="867">
        <f>60000*12</f>
        <v>720000</v>
      </c>
      <c r="L81" s="868">
        <f t="shared" si="64"/>
        <v>19590</v>
      </c>
      <c r="M81" s="869">
        <f t="shared" si="65"/>
        <v>5485200</v>
      </c>
      <c r="N81" s="869"/>
      <c r="O81" s="869"/>
      <c r="P81" s="869"/>
      <c r="Q81" s="869"/>
      <c r="R81" s="870">
        <f t="shared" si="53"/>
        <v>7843200</v>
      </c>
      <c r="S81" s="871">
        <f t="shared" si="54"/>
        <v>2246100</v>
      </c>
      <c r="T81" s="871">
        <f t="shared" si="59"/>
        <v>1212890</v>
      </c>
      <c r="U81" s="871">
        <f t="shared" si="72"/>
        <v>955500</v>
      </c>
      <c r="V81" s="871">
        <f t="shared" si="55"/>
        <v>122400</v>
      </c>
      <c r="W81" s="871">
        <f t="shared" si="60"/>
        <v>283010</v>
      </c>
      <c r="X81" s="871">
        <f t="shared" si="61"/>
        <v>215630</v>
      </c>
      <c r="Y81" s="869">
        <f t="shared" si="66"/>
        <v>2789430</v>
      </c>
      <c r="Z81" s="872">
        <f t="shared" si="67"/>
        <v>5035530</v>
      </c>
      <c r="AA81" s="1068">
        <f>SUM(Z81,Z82,R81,R82,I81,I82)</f>
        <v>58128310</v>
      </c>
      <c r="AB81" s="873">
        <f>250000*12</f>
        <v>3000000</v>
      </c>
      <c r="AC81" s="873">
        <f t="shared" si="57"/>
        <v>600000</v>
      </c>
      <c r="AD81" s="874">
        <f>SUM(AB81:AC82)</f>
        <v>3600000</v>
      </c>
      <c r="AE81" s="1070"/>
    </row>
    <row r="82" spans="1:31" s="1" customFormat="1" ht="24.95" customHeight="1" x14ac:dyDescent="0.15">
      <c r="A82" s="1431"/>
      <c r="B82" s="1431"/>
      <c r="C82" s="1431"/>
      <c r="D82" s="1433"/>
      <c r="E82" s="1433"/>
      <c r="F82" s="859">
        <v>5</v>
      </c>
      <c r="G82" s="855">
        <f>G81+1</f>
        <v>15</v>
      </c>
      <c r="H82" s="878">
        <v>2789000</v>
      </c>
      <c r="I82" s="865">
        <f t="shared" si="62"/>
        <v>13945000</v>
      </c>
      <c r="J82" s="866">
        <f t="shared" si="73"/>
        <v>1673400</v>
      </c>
      <c r="K82" s="867"/>
      <c r="L82" s="875">
        <f t="shared" si="64"/>
        <v>20020</v>
      </c>
      <c r="M82" s="869">
        <f t="shared" si="65"/>
        <v>4004000</v>
      </c>
      <c r="N82" s="869">
        <v>120</v>
      </c>
      <c r="O82" s="869">
        <f t="shared" ref="O82" si="76">N82*L82</f>
        <v>2402400</v>
      </c>
      <c r="P82" s="869"/>
      <c r="Q82" s="869"/>
      <c r="R82" s="870">
        <f t="shared" si="53"/>
        <v>8079800</v>
      </c>
      <c r="S82" s="871">
        <f t="shared" si="54"/>
        <v>1835400</v>
      </c>
      <c r="T82" s="871">
        <f t="shared" si="59"/>
        <v>991120</v>
      </c>
      <c r="U82" s="871">
        <f t="shared" si="72"/>
        <v>780780</v>
      </c>
      <c r="V82" s="871">
        <f t="shared" si="55"/>
        <v>100020</v>
      </c>
      <c r="W82" s="871">
        <f t="shared" si="60"/>
        <v>231260</v>
      </c>
      <c r="X82" s="871">
        <f t="shared" si="61"/>
        <v>176200</v>
      </c>
      <c r="Y82" s="869">
        <f t="shared" si="66"/>
        <v>2279380</v>
      </c>
      <c r="Z82" s="872">
        <f t="shared" si="67"/>
        <v>4114780</v>
      </c>
      <c r="AA82" s="1069"/>
      <c r="AB82" s="876"/>
      <c r="AC82" s="876"/>
      <c r="AD82" s="877"/>
      <c r="AE82" s="1071"/>
    </row>
    <row r="83" spans="1:31" s="1" customFormat="1" ht="24.95" customHeight="1" x14ac:dyDescent="0.15">
      <c r="A83" s="1430">
        <v>40</v>
      </c>
      <c r="B83" s="1430" t="s">
        <v>193</v>
      </c>
      <c r="C83" s="1430" t="s">
        <v>1194</v>
      </c>
      <c r="D83" s="1432">
        <v>8</v>
      </c>
      <c r="E83" s="1432">
        <f>F83+F84</f>
        <v>12</v>
      </c>
      <c r="F83" s="854">
        <v>7</v>
      </c>
      <c r="G83" s="855" t="s">
        <v>213</v>
      </c>
      <c r="H83" s="878">
        <v>1978000</v>
      </c>
      <c r="I83" s="865">
        <f t="shared" si="62"/>
        <v>13846000</v>
      </c>
      <c r="J83" s="866">
        <f t="shared" si="73"/>
        <v>1186800</v>
      </c>
      <c r="K83" s="867">
        <f>40000*12</f>
        <v>480000</v>
      </c>
      <c r="L83" s="868">
        <f t="shared" si="64"/>
        <v>14200</v>
      </c>
      <c r="M83" s="869">
        <f>(L83*20)*F83</f>
        <v>1988000</v>
      </c>
      <c r="N83" s="869"/>
      <c r="O83" s="869"/>
      <c r="P83" s="869">
        <f t="shared" ref="P83:P84" si="77">(L83*5)*F83</f>
        <v>497000</v>
      </c>
      <c r="Q83" s="869"/>
      <c r="R83" s="870">
        <f t="shared" si="53"/>
        <v>4151800</v>
      </c>
      <c r="S83" s="871">
        <f t="shared" si="54"/>
        <v>1499820</v>
      </c>
      <c r="T83" s="871">
        <f t="shared" si="59"/>
        <v>809900</v>
      </c>
      <c r="U83" s="871">
        <f t="shared" si="72"/>
        <v>638030</v>
      </c>
      <c r="V83" s="871">
        <f t="shared" si="55"/>
        <v>81740</v>
      </c>
      <c r="W83" s="871">
        <f t="shared" si="60"/>
        <v>188980</v>
      </c>
      <c r="X83" s="871">
        <f t="shared" si="61"/>
        <v>143980</v>
      </c>
      <c r="Y83" s="869">
        <f t="shared" si="66"/>
        <v>1862630</v>
      </c>
      <c r="Z83" s="872">
        <f t="shared" si="67"/>
        <v>3362450</v>
      </c>
      <c r="AA83" s="1434">
        <f>SUM(Z83,Z84,R83,R84,I83,I84)</f>
        <v>37059390</v>
      </c>
      <c r="AB83" s="873">
        <f>200000*12</f>
        <v>2400000</v>
      </c>
      <c r="AC83" s="873">
        <f t="shared" si="57"/>
        <v>600000</v>
      </c>
      <c r="AD83" s="874">
        <f>SUM(AB83:AC84)</f>
        <v>3000000</v>
      </c>
      <c r="AE83" s="1430"/>
    </row>
    <row r="84" spans="1:31" s="1" customFormat="1" ht="24.95" customHeight="1" x14ac:dyDescent="0.15">
      <c r="A84" s="1431"/>
      <c r="B84" s="1431"/>
      <c r="C84" s="1431"/>
      <c r="D84" s="1433"/>
      <c r="E84" s="1433"/>
      <c r="F84" s="859">
        <v>5</v>
      </c>
      <c r="G84" s="855">
        <f>G83+1</f>
        <v>4</v>
      </c>
      <c r="H84" s="878">
        <v>2036000</v>
      </c>
      <c r="I84" s="865">
        <f t="shared" si="62"/>
        <v>10180000</v>
      </c>
      <c r="J84" s="866">
        <f t="shared" si="73"/>
        <v>1221600</v>
      </c>
      <c r="K84" s="867"/>
      <c r="L84" s="875">
        <f t="shared" si="64"/>
        <v>14610</v>
      </c>
      <c r="M84" s="869">
        <f>(L84*20)*F84</f>
        <v>1461000</v>
      </c>
      <c r="N84" s="869"/>
      <c r="O84" s="869">
        <f t="shared" ref="O84" si="78">N84*L84</f>
        <v>0</v>
      </c>
      <c r="P84" s="869">
        <f t="shared" si="77"/>
        <v>365250</v>
      </c>
      <c r="Q84" s="869"/>
      <c r="R84" s="870">
        <f t="shared" si="53"/>
        <v>3047850</v>
      </c>
      <c r="S84" s="871">
        <f t="shared" si="54"/>
        <v>1102330</v>
      </c>
      <c r="T84" s="871">
        <f t="shared" si="59"/>
        <v>595250</v>
      </c>
      <c r="U84" s="871">
        <f t="shared" si="72"/>
        <v>468930</v>
      </c>
      <c r="V84" s="871">
        <f t="shared" si="55"/>
        <v>60070</v>
      </c>
      <c r="W84" s="871">
        <f t="shared" si="60"/>
        <v>138890</v>
      </c>
      <c r="X84" s="871">
        <f t="shared" si="61"/>
        <v>105820</v>
      </c>
      <c r="Y84" s="869">
        <f t="shared" si="66"/>
        <v>1368960</v>
      </c>
      <c r="Z84" s="872">
        <f t="shared" si="67"/>
        <v>2471290</v>
      </c>
      <c r="AA84" s="1435"/>
      <c r="AB84" s="876"/>
      <c r="AC84" s="876"/>
      <c r="AD84" s="877"/>
      <c r="AE84" s="1431"/>
    </row>
    <row r="85" spans="1:31" s="1" customFormat="1" ht="24.95" customHeight="1" x14ac:dyDescent="0.15">
      <c r="A85" s="1430">
        <v>41</v>
      </c>
      <c r="B85" s="1430" t="s">
        <v>193</v>
      </c>
      <c r="C85" s="1430" t="s">
        <v>1195</v>
      </c>
      <c r="D85" s="1432">
        <v>8</v>
      </c>
      <c r="E85" s="1432">
        <f>F85+F86</f>
        <v>12</v>
      </c>
      <c r="F85" s="854">
        <v>4</v>
      </c>
      <c r="G85" s="855" t="s">
        <v>213</v>
      </c>
      <c r="H85" s="878">
        <v>1978000</v>
      </c>
      <c r="I85" s="865">
        <f t="shared" ref="I85:I92" si="79">H85*F85</f>
        <v>7912000</v>
      </c>
      <c r="J85" s="866">
        <f t="shared" si="73"/>
        <v>1186800</v>
      </c>
      <c r="K85" s="867">
        <f>20000*12</f>
        <v>240000</v>
      </c>
      <c r="L85" s="868">
        <f t="shared" si="64"/>
        <v>14200</v>
      </c>
      <c r="M85" s="869">
        <f>(L85*40)*F85</f>
        <v>2272000</v>
      </c>
      <c r="N85" s="869"/>
      <c r="O85" s="869"/>
      <c r="P85" s="869"/>
      <c r="Q85" s="869"/>
      <c r="R85" s="870">
        <f t="shared" si="53"/>
        <v>3698800</v>
      </c>
      <c r="S85" s="871">
        <f t="shared" si="54"/>
        <v>967570</v>
      </c>
      <c r="T85" s="871">
        <f t="shared" si="59"/>
        <v>522490</v>
      </c>
      <c r="U85" s="871">
        <f t="shared" si="72"/>
        <v>411610</v>
      </c>
      <c r="V85" s="871">
        <f t="shared" si="55"/>
        <v>52730</v>
      </c>
      <c r="W85" s="871">
        <f t="shared" si="60"/>
        <v>121910</v>
      </c>
      <c r="X85" s="871">
        <f t="shared" si="61"/>
        <v>92890</v>
      </c>
      <c r="Y85" s="869">
        <f t="shared" si="66"/>
        <v>1201630</v>
      </c>
      <c r="Z85" s="872">
        <f t="shared" si="67"/>
        <v>2169200</v>
      </c>
      <c r="AA85" s="1434">
        <f>SUM(Z85,Z86,R85,R86,I85,I86)</f>
        <v>42190220</v>
      </c>
      <c r="AB85" s="873">
        <f>200000*12</f>
        <v>2400000</v>
      </c>
      <c r="AC85" s="873">
        <f t="shared" si="57"/>
        <v>600000</v>
      </c>
      <c r="AD85" s="874">
        <f>SUM(AB85:AC86)</f>
        <v>3000000</v>
      </c>
      <c r="AE85" s="1430"/>
    </row>
    <row r="86" spans="1:31" s="1" customFormat="1" ht="24.95" customHeight="1" x14ac:dyDescent="0.15">
      <c r="A86" s="1431"/>
      <c r="B86" s="1431"/>
      <c r="C86" s="1431"/>
      <c r="D86" s="1433"/>
      <c r="E86" s="1433"/>
      <c r="F86" s="859">
        <v>8</v>
      </c>
      <c r="G86" s="855">
        <f>G85+1</f>
        <v>4</v>
      </c>
      <c r="H86" s="878">
        <v>2036000</v>
      </c>
      <c r="I86" s="865">
        <f t="shared" si="79"/>
        <v>16288000</v>
      </c>
      <c r="J86" s="866">
        <f t="shared" si="73"/>
        <v>1221600</v>
      </c>
      <c r="K86" s="867"/>
      <c r="L86" s="875">
        <f t="shared" si="64"/>
        <v>14610</v>
      </c>
      <c r="M86" s="869">
        <f>(L86*40)*F86</f>
        <v>4675200</v>
      </c>
      <c r="N86" s="869">
        <v>120</v>
      </c>
      <c r="O86" s="869">
        <f t="shared" ref="O86" si="80">N86*L86</f>
        <v>1753200</v>
      </c>
      <c r="P86" s="869"/>
      <c r="Q86" s="869"/>
      <c r="R86" s="870">
        <f t="shared" si="53"/>
        <v>7650000</v>
      </c>
      <c r="S86" s="871">
        <f t="shared" si="54"/>
        <v>1994840</v>
      </c>
      <c r="T86" s="871">
        <f t="shared" si="59"/>
        <v>1077210</v>
      </c>
      <c r="U86" s="871">
        <f t="shared" si="72"/>
        <v>848610</v>
      </c>
      <c r="V86" s="871">
        <f t="shared" si="55"/>
        <v>108710</v>
      </c>
      <c r="W86" s="871">
        <f t="shared" si="60"/>
        <v>251350</v>
      </c>
      <c r="X86" s="871">
        <f t="shared" si="61"/>
        <v>191500</v>
      </c>
      <c r="Y86" s="869">
        <f t="shared" si="66"/>
        <v>2477380</v>
      </c>
      <c r="Z86" s="872">
        <f t="shared" si="67"/>
        <v>4472220</v>
      </c>
      <c r="AA86" s="1435"/>
      <c r="AB86" s="876"/>
      <c r="AC86" s="876"/>
      <c r="AD86" s="877"/>
      <c r="AE86" s="1431"/>
    </row>
    <row r="87" spans="1:31" s="1" customFormat="1" ht="24.95" customHeight="1" x14ac:dyDescent="0.15">
      <c r="A87" s="1430">
        <v>42</v>
      </c>
      <c r="B87" s="1430" t="s">
        <v>193</v>
      </c>
      <c r="C87" s="1430" t="s">
        <v>1198</v>
      </c>
      <c r="D87" s="1432">
        <v>8</v>
      </c>
      <c r="E87" s="1432">
        <f>F87+F88</f>
        <v>12</v>
      </c>
      <c r="F87" s="854">
        <v>4</v>
      </c>
      <c r="G87" s="855" t="s">
        <v>213</v>
      </c>
      <c r="H87" s="878">
        <v>1978000</v>
      </c>
      <c r="I87" s="865">
        <f t="shared" si="79"/>
        <v>7912000</v>
      </c>
      <c r="J87" s="866">
        <f t="shared" si="73"/>
        <v>1186800</v>
      </c>
      <c r="K87" s="867">
        <f>40000*12</f>
        <v>480000</v>
      </c>
      <c r="L87" s="868">
        <f t="shared" si="64"/>
        <v>14200</v>
      </c>
      <c r="M87" s="869">
        <f t="shared" ref="M87:M92" si="81">(L87*40)*F87</f>
        <v>2272000</v>
      </c>
      <c r="N87" s="869"/>
      <c r="O87" s="869"/>
      <c r="P87" s="869"/>
      <c r="Q87" s="869"/>
      <c r="R87" s="870">
        <f t="shared" si="53"/>
        <v>3938800</v>
      </c>
      <c r="S87" s="871">
        <f t="shared" si="54"/>
        <v>987570</v>
      </c>
      <c r="T87" s="871">
        <f t="shared" si="59"/>
        <v>533290</v>
      </c>
      <c r="U87" s="871">
        <f t="shared" si="72"/>
        <v>420120</v>
      </c>
      <c r="V87" s="871">
        <f t="shared" si="55"/>
        <v>53820</v>
      </c>
      <c r="W87" s="871">
        <f t="shared" si="60"/>
        <v>124430</v>
      </c>
      <c r="X87" s="871">
        <f t="shared" si="61"/>
        <v>94810</v>
      </c>
      <c r="Y87" s="869">
        <f t="shared" si="66"/>
        <v>1226470</v>
      </c>
      <c r="Z87" s="872">
        <f t="shared" si="67"/>
        <v>2214040</v>
      </c>
      <c r="AA87" s="1434">
        <f>SUM(Z87,Z88,R87,R88,I87,I88)</f>
        <v>42475060</v>
      </c>
      <c r="AB87" s="873">
        <f>200000*12</f>
        <v>2400000</v>
      </c>
      <c r="AC87" s="873">
        <f t="shared" si="57"/>
        <v>600000</v>
      </c>
      <c r="AD87" s="874">
        <f>SUM(AB87:AC88)</f>
        <v>3000000</v>
      </c>
      <c r="AE87" s="1430"/>
    </row>
    <row r="88" spans="1:31" s="1" customFormat="1" ht="24.95" customHeight="1" x14ac:dyDescent="0.15">
      <c r="A88" s="1431"/>
      <c r="B88" s="1431"/>
      <c r="C88" s="1431"/>
      <c r="D88" s="1433"/>
      <c r="E88" s="1433"/>
      <c r="F88" s="859">
        <v>8</v>
      </c>
      <c r="G88" s="855">
        <f>G87+1</f>
        <v>4</v>
      </c>
      <c r="H88" s="878">
        <v>2036000</v>
      </c>
      <c r="I88" s="865">
        <f t="shared" si="79"/>
        <v>16288000</v>
      </c>
      <c r="J88" s="866">
        <f t="shared" si="73"/>
        <v>1221600</v>
      </c>
      <c r="K88" s="867"/>
      <c r="L88" s="875">
        <f t="shared" si="64"/>
        <v>14610</v>
      </c>
      <c r="M88" s="869">
        <f t="shared" si="81"/>
        <v>4675200</v>
      </c>
      <c r="N88" s="869">
        <v>120</v>
      </c>
      <c r="O88" s="869">
        <f t="shared" ref="O88:O90" si="82">N88*L88</f>
        <v>1753200</v>
      </c>
      <c r="P88" s="869"/>
      <c r="Q88" s="869"/>
      <c r="R88" s="870">
        <f t="shared" si="53"/>
        <v>7650000</v>
      </c>
      <c r="S88" s="871">
        <f t="shared" si="54"/>
        <v>1994840</v>
      </c>
      <c r="T88" s="871">
        <f t="shared" si="59"/>
        <v>1077210</v>
      </c>
      <c r="U88" s="871">
        <f t="shared" si="72"/>
        <v>848610</v>
      </c>
      <c r="V88" s="871">
        <f t="shared" si="55"/>
        <v>108710</v>
      </c>
      <c r="W88" s="871">
        <f t="shared" si="60"/>
        <v>251350</v>
      </c>
      <c r="X88" s="871">
        <f t="shared" si="61"/>
        <v>191500</v>
      </c>
      <c r="Y88" s="869">
        <f t="shared" si="66"/>
        <v>2477380</v>
      </c>
      <c r="Z88" s="872">
        <f t="shared" si="67"/>
        <v>4472220</v>
      </c>
      <c r="AA88" s="1435"/>
      <c r="AB88" s="876"/>
      <c r="AC88" s="876"/>
      <c r="AD88" s="877"/>
      <c r="AE88" s="1431"/>
    </row>
    <row r="89" spans="1:31" s="1" customFormat="1" ht="24.95" customHeight="1" x14ac:dyDescent="0.15">
      <c r="A89" s="1430">
        <v>43</v>
      </c>
      <c r="B89" s="1430" t="s">
        <v>193</v>
      </c>
      <c r="C89" s="1430" t="s">
        <v>1198</v>
      </c>
      <c r="D89" s="1432">
        <v>1</v>
      </c>
      <c r="E89" s="1432">
        <f>F89+F90</f>
        <v>12</v>
      </c>
      <c r="F89" s="854">
        <v>12</v>
      </c>
      <c r="G89" s="855" t="s">
        <v>1158</v>
      </c>
      <c r="H89" s="878">
        <v>2396000</v>
      </c>
      <c r="I89" s="865">
        <f t="shared" si="79"/>
        <v>28752000</v>
      </c>
      <c r="J89" s="866">
        <f>(H89*60%)*2</f>
        <v>2875200</v>
      </c>
      <c r="K89" s="867">
        <f>40000*12</f>
        <v>480000</v>
      </c>
      <c r="L89" s="868">
        <f>ROUND(H89*1/209*1.5,-1)</f>
        <v>17200</v>
      </c>
      <c r="M89" s="869">
        <f t="shared" si="81"/>
        <v>8256000</v>
      </c>
      <c r="N89" s="869">
        <v>120</v>
      </c>
      <c r="O89" s="869">
        <f t="shared" si="82"/>
        <v>2064000</v>
      </c>
      <c r="P89" s="869"/>
      <c r="Q89" s="869"/>
      <c r="R89" s="870">
        <f t="shared" si="53"/>
        <v>13675200</v>
      </c>
      <c r="S89" s="871">
        <f t="shared" si="54"/>
        <v>3535600</v>
      </c>
      <c r="T89" s="871">
        <f t="shared" si="59"/>
        <v>1909220</v>
      </c>
      <c r="U89" s="871">
        <f t="shared" si="72"/>
        <v>1504050</v>
      </c>
      <c r="V89" s="871">
        <f t="shared" si="55"/>
        <v>192670</v>
      </c>
      <c r="W89" s="871">
        <f t="shared" si="60"/>
        <v>445490</v>
      </c>
      <c r="X89" s="871">
        <f t="shared" si="61"/>
        <v>339420</v>
      </c>
      <c r="Y89" s="869">
        <f>SUM(T89:X89)</f>
        <v>4390850</v>
      </c>
      <c r="Z89" s="872">
        <f>SUM(S89,Y89)</f>
        <v>7926450</v>
      </c>
      <c r="AA89" s="1434">
        <f>SUM(Z89,Z90,R89,R90,I89,I90)</f>
        <v>50353650</v>
      </c>
      <c r="AB89" s="873">
        <f>250000*12</f>
        <v>3000000</v>
      </c>
      <c r="AC89" s="873">
        <f t="shared" si="57"/>
        <v>600000</v>
      </c>
      <c r="AD89" s="874">
        <f>SUM(AB89:AC90)</f>
        <v>3600000</v>
      </c>
      <c r="AE89" s="1430"/>
    </row>
    <row r="90" spans="1:31" s="1" customFormat="1" ht="24.95" customHeight="1" x14ac:dyDescent="0.15">
      <c r="A90" s="1431"/>
      <c r="B90" s="1431"/>
      <c r="C90" s="1431"/>
      <c r="D90" s="1433"/>
      <c r="E90" s="1433"/>
      <c r="F90" s="859"/>
      <c r="G90" s="855"/>
      <c r="H90" s="878"/>
      <c r="I90" s="865">
        <f t="shared" si="79"/>
        <v>0</v>
      </c>
      <c r="J90" s="866">
        <f>H90*60%</f>
        <v>0</v>
      </c>
      <c r="K90" s="867"/>
      <c r="L90" s="875">
        <f>ROUND(H90*1/209*1.5,-1)</f>
        <v>0</v>
      </c>
      <c r="M90" s="869">
        <f t="shared" si="81"/>
        <v>0</v>
      </c>
      <c r="N90" s="869"/>
      <c r="O90" s="869">
        <f t="shared" si="82"/>
        <v>0</v>
      </c>
      <c r="P90" s="869"/>
      <c r="Q90" s="869"/>
      <c r="R90" s="870">
        <f t="shared" si="53"/>
        <v>0</v>
      </c>
      <c r="S90" s="871">
        <f t="shared" si="54"/>
        <v>0</v>
      </c>
      <c r="T90" s="871">
        <f t="shared" si="59"/>
        <v>0</v>
      </c>
      <c r="U90" s="871">
        <f t="shared" si="72"/>
        <v>0</v>
      </c>
      <c r="V90" s="871">
        <f t="shared" si="55"/>
        <v>0</v>
      </c>
      <c r="W90" s="871">
        <f t="shared" si="60"/>
        <v>0</v>
      </c>
      <c r="X90" s="871">
        <f t="shared" si="61"/>
        <v>0</v>
      </c>
      <c r="Y90" s="869">
        <f>SUM(T90:X90)</f>
        <v>0</v>
      </c>
      <c r="Z90" s="872">
        <f>SUM(S90,Y90)</f>
        <v>0</v>
      </c>
      <c r="AA90" s="1435"/>
      <c r="AB90" s="876"/>
      <c r="AC90" s="876"/>
      <c r="AD90" s="877"/>
      <c r="AE90" s="1431"/>
    </row>
    <row r="91" spans="1:31" s="1" customFormat="1" ht="24.95" customHeight="1" x14ac:dyDescent="0.15">
      <c r="A91" s="1430">
        <v>44</v>
      </c>
      <c r="B91" s="1430" t="s">
        <v>193</v>
      </c>
      <c r="C91" s="1430" t="s">
        <v>1198</v>
      </c>
      <c r="D91" s="1432">
        <v>11</v>
      </c>
      <c r="E91" s="1432">
        <f>F91+F92</f>
        <v>12</v>
      </c>
      <c r="F91" s="854">
        <v>10</v>
      </c>
      <c r="G91" s="855" t="s">
        <v>197</v>
      </c>
      <c r="H91" s="878">
        <v>2036000</v>
      </c>
      <c r="I91" s="865">
        <f t="shared" si="79"/>
        <v>20360000</v>
      </c>
      <c r="J91" s="866">
        <f>H91*60%</f>
        <v>1221600</v>
      </c>
      <c r="K91" s="867">
        <f>40000*12</f>
        <v>480000</v>
      </c>
      <c r="L91" s="868">
        <f>ROUND(H91*1/209*1.5,-1)</f>
        <v>14610</v>
      </c>
      <c r="M91" s="869">
        <f t="shared" si="81"/>
        <v>5844000</v>
      </c>
      <c r="N91" s="869"/>
      <c r="O91" s="869"/>
      <c r="P91" s="869"/>
      <c r="Q91" s="869"/>
      <c r="R91" s="870">
        <f t="shared" si="53"/>
        <v>7545600</v>
      </c>
      <c r="S91" s="871">
        <f t="shared" si="54"/>
        <v>2325470</v>
      </c>
      <c r="T91" s="871">
        <f t="shared" si="59"/>
        <v>1255750</v>
      </c>
      <c r="U91" s="871">
        <f t="shared" si="72"/>
        <v>989260</v>
      </c>
      <c r="V91" s="871">
        <f t="shared" si="55"/>
        <v>126730</v>
      </c>
      <c r="W91" s="871">
        <f t="shared" si="60"/>
        <v>293010</v>
      </c>
      <c r="X91" s="871">
        <f t="shared" si="61"/>
        <v>223240</v>
      </c>
      <c r="Y91" s="869">
        <f>SUM(T91:X91)</f>
        <v>2887990</v>
      </c>
      <c r="Z91" s="872">
        <f>SUM(S91,Y91)</f>
        <v>5213460</v>
      </c>
      <c r="AA91" s="1434">
        <f>SUM(Z91,Z92,R91,R92,I91,I92)</f>
        <v>43170780</v>
      </c>
      <c r="AB91" s="873">
        <f>200000*12</f>
        <v>2400000</v>
      </c>
      <c r="AC91" s="873">
        <f t="shared" si="57"/>
        <v>600000</v>
      </c>
      <c r="AD91" s="874">
        <f>SUM(AB91:AC92)</f>
        <v>3000000</v>
      </c>
      <c r="AE91" s="1430"/>
    </row>
    <row r="92" spans="1:31" s="1" customFormat="1" ht="24.95" customHeight="1" x14ac:dyDescent="0.15">
      <c r="A92" s="1431"/>
      <c r="B92" s="1431"/>
      <c r="C92" s="1431"/>
      <c r="D92" s="1433"/>
      <c r="E92" s="1433"/>
      <c r="F92" s="859">
        <v>2</v>
      </c>
      <c r="G92" s="855">
        <f>G91+1</f>
        <v>5</v>
      </c>
      <c r="H92" s="878">
        <v>2099000</v>
      </c>
      <c r="I92" s="865">
        <f t="shared" si="79"/>
        <v>4198000</v>
      </c>
      <c r="J92" s="866">
        <f>H92*60%</f>
        <v>1259400</v>
      </c>
      <c r="K92" s="867"/>
      <c r="L92" s="875">
        <f>ROUND(H92*1/209*1.5,-1)</f>
        <v>15060</v>
      </c>
      <c r="M92" s="869">
        <f t="shared" si="81"/>
        <v>1204800</v>
      </c>
      <c r="N92" s="869">
        <v>120</v>
      </c>
      <c r="O92" s="869">
        <f t="shared" ref="O92" si="83">N92*L92</f>
        <v>1807200</v>
      </c>
      <c r="P92" s="869"/>
      <c r="Q92" s="869"/>
      <c r="R92" s="870">
        <f t="shared" si="53"/>
        <v>4271400</v>
      </c>
      <c r="S92" s="871">
        <f t="shared" si="54"/>
        <v>705790</v>
      </c>
      <c r="T92" s="871">
        <f t="shared" si="59"/>
        <v>381120</v>
      </c>
      <c r="U92" s="871">
        <f t="shared" si="72"/>
        <v>300250</v>
      </c>
      <c r="V92" s="871">
        <f t="shared" si="55"/>
        <v>38470</v>
      </c>
      <c r="W92" s="871">
        <f t="shared" si="60"/>
        <v>88930</v>
      </c>
      <c r="X92" s="871">
        <f t="shared" si="61"/>
        <v>67760</v>
      </c>
      <c r="Y92" s="869">
        <f>SUM(T92:X92)</f>
        <v>876530</v>
      </c>
      <c r="Z92" s="872">
        <f>SUM(S92,Y92)</f>
        <v>1582320</v>
      </c>
      <c r="AA92" s="1435"/>
      <c r="AB92" s="876"/>
      <c r="AC92" s="876"/>
      <c r="AD92" s="877"/>
      <c r="AE92" s="1431"/>
    </row>
    <row r="93" spans="1:31" s="1" customFormat="1" ht="24.95" customHeight="1" x14ac:dyDescent="0.15">
      <c r="A93" s="1430">
        <v>45</v>
      </c>
      <c r="B93" s="1430" t="s">
        <v>218</v>
      </c>
      <c r="C93" s="1430" t="s">
        <v>217</v>
      </c>
      <c r="D93" s="1432">
        <v>9</v>
      </c>
      <c r="E93" s="1432">
        <f>F93+F94</f>
        <v>12</v>
      </c>
      <c r="F93" s="854">
        <v>8</v>
      </c>
      <c r="G93" s="855" t="s">
        <v>189</v>
      </c>
      <c r="H93" s="878">
        <v>2526000</v>
      </c>
      <c r="I93" s="865">
        <f t="shared" ref="I93:I98" si="84">H93*F93</f>
        <v>20208000</v>
      </c>
      <c r="J93" s="866">
        <f t="shared" ref="J93:J98" si="85">H93*60%</f>
        <v>1515600</v>
      </c>
      <c r="K93" s="867">
        <f>40000*12</f>
        <v>480000</v>
      </c>
      <c r="L93" s="868">
        <f t="shared" ref="L93:L98" si="86">ROUND(H93*1/209*1.5,-1)</f>
        <v>18130</v>
      </c>
      <c r="M93" s="869">
        <f>(L93*20)*F93</f>
        <v>2900800</v>
      </c>
      <c r="N93" s="869"/>
      <c r="O93" s="869"/>
      <c r="P93" s="869">
        <f>(L93*5)*F93</f>
        <v>725200</v>
      </c>
      <c r="Q93" s="869"/>
      <c r="R93" s="870">
        <f t="shared" si="53"/>
        <v>5621600</v>
      </c>
      <c r="S93" s="871">
        <f t="shared" si="54"/>
        <v>2152470</v>
      </c>
      <c r="T93" s="871">
        <f t="shared" si="59"/>
        <v>1162330</v>
      </c>
      <c r="U93" s="871">
        <f t="shared" si="72"/>
        <v>915660</v>
      </c>
      <c r="V93" s="871">
        <f t="shared" si="55"/>
        <v>117300</v>
      </c>
      <c r="W93" s="871">
        <f t="shared" si="60"/>
        <v>271210</v>
      </c>
      <c r="X93" s="871">
        <f t="shared" si="61"/>
        <v>206640</v>
      </c>
      <c r="Y93" s="869">
        <f t="shared" ref="Y93:Y98" si="87">SUM(T93:X93)</f>
        <v>2673140</v>
      </c>
      <c r="Z93" s="872">
        <f t="shared" ref="Z93:Z98" si="88">SUM(S93,Y93)</f>
        <v>4825610</v>
      </c>
      <c r="AA93" s="1434">
        <f>SUM(Z93,Z94,R93,R94,I93,I94)</f>
        <v>46874360</v>
      </c>
      <c r="AB93" s="873">
        <f>250000*12</f>
        <v>3000000</v>
      </c>
      <c r="AC93" s="873">
        <f t="shared" si="57"/>
        <v>600000</v>
      </c>
      <c r="AD93" s="874">
        <f>SUM(AB93:AC94)</f>
        <v>3600000</v>
      </c>
      <c r="AE93" s="1430"/>
    </row>
    <row r="94" spans="1:31" s="1" customFormat="1" ht="24.95" customHeight="1" x14ac:dyDescent="0.15">
      <c r="A94" s="1431"/>
      <c r="B94" s="1431"/>
      <c r="C94" s="1431"/>
      <c r="D94" s="1433"/>
      <c r="E94" s="1433"/>
      <c r="F94" s="859">
        <v>4</v>
      </c>
      <c r="G94" s="855">
        <f>G93+1</f>
        <v>16</v>
      </c>
      <c r="H94" s="878">
        <v>2570000</v>
      </c>
      <c r="I94" s="865">
        <f t="shared" si="84"/>
        <v>10280000</v>
      </c>
      <c r="J94" s="866">
        <f t="shared" si="85"/>
        <v>1542000</v>
      </c>
      <c r="K94" s="867"/>
      <c r="L94" s="875">
        <f t="shared" si="86"/>
        <v>18440</v>
      </c>
      <c r="M94" s="869">
        <f>(L94*20)*F94</f>
        <v>1475200</v>
      </c>
      <c r="N94" s="869"/>
      <c r="O94" s="869">
        <f t="shared" ref="O94:O95" si="89">N94*L94</f>
        <v>0</v>
      </c>
      <c r="P94" s="869">
        <f>(L94*5)*F94</f>
        <v>368800</v>
      </c>
      <c r="Q94" s="869"/>
      <c r="R94" s="870">
        <f t="shared" si="53"/>
        <v>3386000</v>
      </c>
      <c r="S94" s="871">
        <f t="shared" si="54"/>
        <v>1138840</v>
      </c>
      <c r="T94" s="871">
        <f t="shared" si="59"/>
        <v>614970</v>
      </c>
      <c r="U94" s="871">
        <f t="shared" si="72"/>
        <v>484460</v>
      </c>
      <c r="V94" s="871">
        <f t="shared" si="55"/>
        <v>62060</v>
      </c>
      <c r="W94" s="871">
        <f t="shared" si="60"/>
        <v>143490</v>
      </c>
      <c r="X94" s="871">
        <f t="shared" si="61"/>
        <v>109330</v>
      </c>
      <c r="Y94" s="869">
        <f t="shared" si="87"/>
        <v>1414310</v>
      </c>
      <c r="Z94" s="872">
        <f t="shared" si="88"/>
        <v>2553150</v>
      </c>
      <c r="AA94" s="1435"/>
      <c r="AB94" s="876"/>
      <c r="AC94" s="876"/>
      <c r="AD94" s="877"/>
      <c r="AE94" s="1431"/>
    </row>
    <row r="95" spans="1:31" s="1" customFormat="1" ht="24.95" customHeight="1" x14ac:dyDescent="0.15">
      <c r="A95" s="1430">
        <v>46</v>
      </c>
      <c r="B95" s="1430" t="s">
        <v>219</v>
      </c>
      <c r="C95" s="1430" t="s">
        <v>1104</v>
      </c>
      <c r="D95" s="1432">
        <v>5</v>
      </c>
      <c r="E95" s="1432">
        <f>F95+F96</f>
        <v>12</v>
      </c>
      <c r="F95" s="854">
        <v>4</v>
      </c>
      <c r="G95" s="855" t="s">
        <v>197</v>
      </c>
      <c r="H95" s="878">
        <v>1970000</v>
      </c>
      <c r="I95" s="865">
        <f t="shared" si="84"/>
        <v>7880000</v>
      </c>
      <c r="J95" s="866">
        <f>(H95*60%)*1</f>
        <v>1182000</v>
      </c>
      <c r="K95" s="867"/>
      <c r="L95" s="868">
        <f t="shared" si="86"/>
        <v>14140</v>
      </c>
      <c r="M95" s="869">
        <f t="shared" ref="M95:M100" si="90">(L95*40)*F95</f>
        <v>2262400</v>
      </c>
      <c r="N95" s="869"/>
      <c r="O95" s="869">
        <f t="shared" si="89"/>
        <v>0</v>
      </c>
      <c r="P95" s="869"/>
      <c r="Q95" s="869"/>
      <c r="R95" s="870">
        <f t="shared" si="53"/>
        <v>3444400</v>
      </c>
      <c r="S95" s="871">
        <f t="shared" si="54"/>
        <v>943700</v>
      </c>
      <c r="T95" s="871">
        <f t="shared" si="59"/>
        <v>509600</v>
      </c>
      <c r="U95" s="871">
        <f t="shared" si="72"/>
        <v>401450</v>
      </c>
      <c r="V95" s="871">
        <f t="shared" si="55"/>
        <v>51430</v>
      </c>
      <c r="W95" s="871">
        <f t="shared" si="60"/>
        <v>118910</v>
      </c>
      <c r="X95" s="871">
        <f t="shared" si="61"/>
        <v>90600</v>
      </c>
      <c r="Y95" s="869">
        <f t="shared" si="87"/>
        <v>1171990</v>
      </c>
      <c r="Z95" s="872">
        <f t="shared" si="88"/>
        <v>2115690</v>
      </c>
      <c r="AA95" s="1434">
        <f>SUM(Z95,Z96,R95,R96,I95,I96)</f>
        <v>41557640</v>
      </c>
      <c r="AB95" s="873">
        <f>200000*12</f>
        <v>2400000</v>
      </c>
      <c r="AC95" s="873">
        <f t="shared" si="57"/>
        <v>600000</v>
      </c>
      <c r="AD95" s="874">
        <f>SUM(AB95:AC96)</f>
        <v>3000000</v>
      </c>
      <c r="AE95" s="1430"/>
    </row>
    <row r="96" spans="1:31" s="1" customFormat="1" ht="24.95" customHeight="1" x14ac:dyDescent="0.15">
      <c r="A96" s="1431"/>
      <c r="B96" s="1431"/>
      <c r="C96" s="1431"/>
      <c r="D96" s="1433"/>
      <c r="E96" s="1433"/>
      <c r="F96" s="859">
        <v>8</v>
      </c>
      <c r="G96" s="855">
        <f>G95+1</f>
        <v>5</v>
      </c>
      <c r="H96" s="878">
        <v>2015000</v>
      </c>
      <c r="I96" s="865">
        <f t="shared" si="84"/>
        <v>16120000</v>
      </c>
      <c r="J96" s="866">
        <f t="shared" si="85"/>
        <v>1209000</v>
      </c>
      <c r="K96" s="867"/>
      <c r="L96" s="875">
        <f t="shared" si="86"/>
        <v>14460</v>
      </c>
      <c r="M96" s="869">
        <f t="shared" si="90"/>
        <v>4627200</v>
      </c>
      <c r="N96" s="869">
        <v>120</v>
      </c>
      <c r="O96" s="869">
        <f t="shared" ref="O96" si="91">N96*L96</f>
        <v>1735200</v>
      </c>
      <c r="P96" s="869"/>
      <c r="Q96" s="869"/>
      <c r="R96" s="870">
        <f t="shared" si="53"/>
        <v>7571400</v>
      </c>
      <c r="S96" s="871">
        <f t="shared" si="54"/>
        <v>1974290</v>
      </c>
      <c r="T96" s="871">
        <f t="shared" si="59"/>
        <v>1066110</v>
      </c>
      <c r="U96" s="871">
        <f t="shared" si="72"/>
        <v>839870</v>
      </c>
      <c r="V96" s="871">
        <f t="shared" si="55"/>
        <v>107590</v>
      </c>
      <c r="W96" s="871">
        <f t="shared" si="60"/>
        <v>248760</v>
      </c>
      <c r="X96" s="871">
        <f t="shared" si="61"/>
        <v>189530</v>
      </c>
      <c r="Y96" s="869">
        <f t="shared" si="87"/>
        <v>2451860</v>
      </c>
      <c r="Z96" s="872">
        <f t="shared" si="88"/>
        <v>4426150</v>
      </c>
      <c r="AA96" s="1435"/>
      <c r="AB96" s="876"/>
      <c r="AC96" s="876"/>
      <c r="AD96" s="877"/>
      <c r="AE96" s="1431"/>
    </row>
    <row r="97" spans="1:31" s="1" customFormat="1" ht="24.95" customHeight="1" x14ac:dyDescent="0.15">
      <c r="A97" s="1430">
        <v>47</v>
      </c>
      <c r="B97" s="1430" t="s">
        <v>219</v>
      </c>
      <c r="C97" s="1430" t="s">
        <v>220</v>
      </c>
      <c r="D97" s="1432">
        <v>3</v>
      </c>
      <c r="E97" s="1432">
        <f>F97+F98</f>
        <v>12</v>
      </c>
      <c r="F97" s="854">
        <v>2</v>
      </c>
      <c r="G97" s="855" t="s">
        <v>1173</v>
      </c>
      <c r="H97" s="878">
        <v>2249000</v>
      </c>
      <c r="I97" s="865">
        <f t="shared" si="84"/>
        <v>4498000</v>
      </c>
      <c r="J97" s="866">
        <f t="shared" si="85"/>
        <v>1349400</v>
      </c>
      <c r="K97" s="867"/>
      <c r="L97" s="868">
        <f t="shared" si="86"/>
        <v>16140</v>
      </c>
      <c r="M97" s="869">
        <f t="shared" si="90"/>
        <v>1291200</v>
      </c>
      <c r="N97" s="869"/>
      <c r="O97" s="869"/>
      <c r="P97" s="869"/>
      <c r="Q97" s="869"/>
      <c r="R97" s="870">
        <f t="shared" si="53"/>
        <v>2640600</v>
      </c>
      <c r="S97" s="871">
        <f t="shared" si="54"/>
        <v>594890</v>
      </c>
      <c r="T97" s="871">
        <f t="shared" si="59"/>
        <v>321240</v>
      </c>
      <c r="U97" s="871">
        <f t="shared" si="72"/>
        <v>253070</v>
      </c>
      <c r="V97" s="871">
        <f t="shared" si="55"/>
        <v>32420</v>
      </c>
      <c r="W97" s="871">
        <f t="shared" si="60"/>
        <v>74960</v>
      </c>
      <c r="X97" s="871">
        <f t="shared" si="61"/>
        <v>57110</v>
      </c>
      <c r="Y97" s="869">
        <f t="shared" si="87"/>
        <v>738800</v>
      </c>
      <c r="Z97" s="872">
        <f t="shared" si="88"/>
        <v>1333690</v>
      </c>
      <c r="AA97" s="1434">
        <f>SUM(Z97,Z98,R97,R98,I97,I98)</f>
        <v>47796550</v>
      </c>
      <c r="AB97" s="873">
        <f>250000*12</f>
        <v>3000000</v>
      </c>
      <c r="AC97" s="873">
        <f t="shared" si="57"/>
        <v>600000</v>
      </c>
      <c r="AD97" s="874">
        <f>SUM(AB97:AC98)</f>
        <v>3600000</v>
      </c>
      <c r="AE97" s="1430"/>
    </row>
    <row r="98" spans="1:31" s="1" customFormat="1" ht="24.95" customHeight="1" x14ac:dyDescent="0.15">
      <c r="A98" s="1431"/>
      <c r="B98" s="1431"/>
      <c r="C98" s="1431"/>
      <c r="D98" s="1433"/>
      <c r="E98" s="1433"/>
      <c r="F98" s="859">
        <v>10</v>
      </c>
      <c r="G98" s="855">
        <f>G97+1</f>
        <v>11</v>
      </c>
      <c r="H98" s="878">
        <v>2312000</v>
      </c>
      <c r="I98" s="865">
        <f t="shared" si="84"/>
        <v>23120000</v>
      </c>
      <c r="J98" s="866">
        <f t="shared" si="85"/>
        <v>1387200</v>
      </c>
      <c r="K98" s="867"/>
      <c r="L98" s="875">
        <f t="shared" si="86"/>
        <v>16590</v>
      </c>
      <c r="M98" s="869">
        <f t="shared" si="90"/>
        <v>6636000</v>
      </c>
      <c r="N98" s="869">
        <v>120</v>
      </c>
      <c r="O98" s="869">
        <f t="shared" ref="O98" si="92">N98*L98</f>
        <v>1990800</v>
      </c>
      <c r="P98" s="869"/>
      <c r="Q98" s="869"/>
      <c r="R98" s="870">
        <f t="shared" si="53"/>
        <v>10014000</v>
      </c>
      <c r="S98" s="871">
        <f t="shared" si="54"/>
        <v>2761170</v>
      </c>
      <c r="T98" s="871">
        <f t="shared" si="59"/>
        <v>1491030</v>
      </c>
      <c r="U98" s="871">
        <f t="shared" si="72"/>
        <v>1174610</v>
      </c>
      <c r="V98" s="871">
        <f t="shared" si="55"/>
        <v>150470</v>
      </c>
      <c r="W98" s="871">
        <f t="shared" si="60"/>
        <v>347910</v>
      </c>
      <c r="X98" s="871">
        <f t="shared" si="61"/>
        <v>265070</v>
      </c>
      <c r="Y98" s="869">
        <f t="shared" si="87"/>
        <v>3429090</v>
      </c>
      <c r="Z98" s="872">
        <f t="shared" si="88"/>
        <v>6190260</v>
      </c>
      <c r="AA98" s="1435"/>
      <c r="AB98" s="876"/>
      <c r="AC98" s="876"/>
      <c r="AD98" s="877"/>
      <c r="AE98" s="1431"/>
    </row>
    <row r="99" spans="1:31" s="1" customFormat="1" ht="24.95" customHeight="1" x14ac:dyDescent="0.15">
      <c r="A99" s="1430">
        <v>48</v>
      </c>
      <c r="B99" s="1430" t="s">
        <v>219</v>
      </c>
      <c r="C99" s="1430" t="s">
        <v>225</v>
      </c>
      <c r="D99" s="1432">
        <v>7</v>
      </c>
      <c r="E99" s="1432">
        <f>F99+F100</f>
        <v>12</v>
      </c>
      <c r="F99" s="854">
        <v>6</v>
      </c>
      <c r="G99" s="855" t="s">
        <v>1174</v>
      </c>
      <c r="H99" s="878">
        <v>1939000</v>
      </c>
      <c r="I99" s="865">
        <f>H99*F99</f>
        <v>11634000</v>
      </c>
      <c r="J99" s="866">
        <f>H99*60%</f>
        <v>1163400</v>
      </c>
      <c r="K99" s="867">
        <f>40000*12</f>
        <v>480000</v>
      </c>
      <c r="L99" s="868">
        <f>ROUND(H99*1/209*1.5,-1)</f>
        <v>13920</v>
      </c>
      <c r="M99" s="869">
        <f t="shared" si="90"/>
        <v>3340800</v>
      </c>
      <c r="N99" s="869"/>
      <c r="O99" s="869"/>
      <c r="P99" s="869"/>
      <c r="Q99" s="869"/>
      <c r="R99" s="870">
        <f>SUM(J99,K99,M99,O99,P99)</f>
        <v>4984200</v>
      </c>
      <c r="S99" s="871">
        <f t="shared" si="54"/>
        <v>1384850</v>
      </c>
      <c r="T99" s="871">
        <f t="shared" si="59"/>
        <v>747820</v>
      </c>
      <c r="U99" s="871">
        <f t="shared" si="72"/>
        <v>589120</v>
      </c>
      <c r="V99" s="871">
        <f t="shared" si="55"/>
        <v>75470</v>
      </c>
      <c r="W99" s="871">
        <f t="shared" si="60"/>
        <v>174490</v>
      </c>
      <c r="X99" s="871">
        <f t="shared" si="61"/>
        <v>132950</v>
      </c>
      <c r="Y99" s="869">
        <f>SUM(T99:X99)</f>
        <v>1719850</v>
      </c>
      <c r="Z99" s="872">
        <f>SUM(S99,Y99)</f>
        <v>3104700</v>
      </c>
      <c r="AA99" s="1434">
        <f>SUM(Z99,Z100,R99,R100,I99,I100)</f>
        <v>41195420</v>
      </c>
      <c r="AB99" s="873">
        <f>200000*12</f>
        <v>2400000</v>
      </c>
      <c r="AC99" s="873">
        <f t="shared" si="57"/>
        <v>600000</v>
      </c>
      <c r="AD99" s="874">
        <f>SUM(AB99:AC100)</f>
        <v>3000000</v>
      </c>
      <c r="AE99" s="1430"/>
    </row>
    <row r="100" spans="1:31" s="1" customFormat="1" ht="24.95" customHeight="1" x14ac:dyDescent="0.15">
      <c r="A100" s="1431"/>
      <c r="B100" s="1431"/>
      <c r="C100" s="1431"/>
      <c r="D100" s="1433"/>
      <c r="E100" s="1433"/>
      <c r="F100" s="859">
        <v>6</v>
      </c>
      <c r="G100" s="855">
        <f>G99+1</f>
        <v>4</v>
      </c>
      <c r="H100" s="878">
        <v>1970000</v>
      </c>
      <c r="I100" s="865">
        <f>H100*F100</f>
        <v>11820000</v>
      </c>
      <c r="J100" s="866">
        <f>H100*60%</f>
        <v>1182000</v>
      </c>
      <c r="K100" s="867"/>
      <c r="L100" s="875">
        <f>ROUND(H100*1/209*1.5,-1)</f>
        <v>14140</v>
      </c>
      <c r="M100" s="869">
        <f t="shared" si="90"/>
        <v>3393600</v>
      </c>
      <c r="N100" s="869">
        <v>120</v>
      </c>
      <c r="O100" s="869">
        <f t="shared" ref="O100" si="93">N100*L100</f>
        <v>1696800</v>
      </c>
      <c r="P100" s="869"/>
      <c r="Q100" s="869"/>
      <c r="R100" s="870">
        <f>SUM(J100,K100,M100,O100,P100)</f>
        <v>6272400</v>
      </c>
      <c r="S100" s="871">
        <f t="shared" si="54"/>
        <v>1507700</v>
      </c>
      <c r="T100" s="871">
        <f t="shared" si="59"/>
        <v>814160</v>
      </c>
      <c r="U100" s="871">
        <f t="shared" si="72"/>
        <v>641380</v>
      </c>
      <c r="V100" s="871">
        <f t="shared" si="55"/>
        <v>82170</v>
      </c>
      <c r="W100" s="871">
        <f t="shared" si="60"/>
        <v>189970</v>
      </c>
      <c r="X100" s="871">
        <f t="shared" si="61"/>
        <v>144740</v>
      </c>
      <c r="Y100" s="869">
        <f>SUM(T100:X100)</f>
        <v>1872420</v>
      </c>
      <c r="Z100" s="872">
        <f>SUM(S100,Y100)</f>
        <v>3380120</v>
      </c>
      <c r="AA100" s="1435"/>
      <c r="AB100" s="876"/>
      <c r="AC100" s="876"/>
      <c r="AD100" s="877"/>
      <c r="AE100" s="1431"/>
    </row>
    <row r="101" spans="1:31" s="1" customFormat="1" ht="24.95" customHeight="1" x14ac:dyDescent="0.15">
      <c r="A101" s="1430">
        <v>49</v>
      </c>
      <c r="B101" s="1430" t="s">
        <v>221</v>
      </c>
      <c r="C101" s="1430" t="s">
        <v>222</v>
      </c>
      <c r="D101" s="1432">
        <v>1</v>
      </c>
      <c r="E101" s="860"/>
      <c r="F101" s="854">
        <v>12</v>
      </c>
      <c r="G101" s="855" t="s">
        <v>223</v>
      </c>
      <c r="H101" s="878">
        <v>2595000</v>
      </c>
      <c r="I101" s="865">
        <f>H101*F101</f>
        <v>31140000</v>
      </c>
      <c r="J101" s="866"/>
      <c r="K101" s="867"/>
      <c r="L101" s="868"/>
      <c r="M101" s="869">
        <f>(L101*20)*5</f>
        <v>0</v>
      </c>
      <c r="N101" s="869"/>
      <c r="O101" s="869"/>
      <c r="P101" s="869"/>
      <c r="Q101" s="869"/>
      <c r="R101" s="870">
        <f>SUM(J101,K101,M101,P101,Q101)</f>
        <v>0</v>
      </c>
      <c r="S101" s="871"/>
      <c r="T101" s="871"/>
      <c r="U101" s="871"/>
      <c r="V101" s="871"/>
      <c r="W101" s="871"/>
      <c r="X101" s="871"/>
      <c r="Y101" s="869"/>
      <c r="Z101" s="872">
        <f>SUM(S101,Y101)</f>
        <v>0</v>
      </c>
      <c r="AA101" s="1434">
        <f>SUM(Z101,Z102,R101,R102,I101,I102)</f>
        <v>31140000</v>
      </c>
      <c r="AB101" s="873"/>
      <c r="AC101" s="873"/>
      <c r="AD101" s="874"/>
      <c r="AE101" s="1430"/>
    </row>
    <row r="102" spans="1:31" s="1" customFormat="1" ht="24.95" customHeight="1" x14ac:dyDescent="0.15">
      <c r="A102" s="1431"/>
      <c r="B102" s="1431"/>
      <c r="C102" s="1431"/>
      <c r="D102" s="1433"/>
      <c r="E102" s="861"/>
      <c r="F102" s="859"/>
      <c r="G102" s="855"/>
      <c r="H102" s="878"/>
      <c r="I102" s="865">
        <f>H102*F102</f>
        <v>0</v>
      </c>
      <c r="J102" s="866">
        <f>H102*60%</f>
        <v>0</v>
      </c>
      <c r="K102" s="867"/>
      <c r="L102" s="868">
        <f>ROUND(H102*1/209*1.5,-1)</f>
        <v>0</v>
      </c>
      <c r="M102" s="869">
        <f>(L102*20)*7</f>
        <v>0</v>
      </c>
      <c r="N102" s="869"/>
      <c r="O102" s="869"/>
      <c r="P102" s="869"/>
      <c r="Q102" s="869"/>
      <c r="R102" s="870">
        <f>SUM(J102,K102,M102,P102,Q102)</f>
        <v>0</v>
      </c>
      <c r="S102" s="871"/>
      <c r="T102" s="871"/>
      <c r="U102" s="871"/>
      <c r="V102" s="871"/>
      <c r="W102" s="871"/>
      <c r="X102" s="871"/>
      <c r="Y102" s="869"/>
      <c r="Z102" s="872">
        <f>SUM(S102,Y102)</f>
        <v>0</v>
      </c>
      <c r="AA102" s="1435"/>
      <c r="AB102" s="876"/>
      <c r="AC102" s="876"/>
      <c r="AD102" s="877"/>
      <c r="AE102" s="1431"/>
    </row>
    <row r="103" spans="1:31" s="97" customFormat="1" ht="34.5" customHeight="1" x14ac:dyDescent="0.15">
      <c r="A103" s="1463" t="s">
        <v>928</v>
      </c>
      <c r="B103" s="1463"/>
      <c r="C103" s="1463"/>
      <c r="D103" s="1463"/>
      <c r="E103" s="1463"/>
      <c r="F103" s="1463"/>
      <c r="G103" s="1463"/>
      <c r="H103" s="1463"/>
      <c r="I103" s="1096">
        <f>SUM(I5:I102)</f>
        <v>1559676000</v>
      </c>
      <c r="J103" s="1096">
        <f>SUM(J5:J102)</f>
        <v>152668200</v>
      </c>
      <c r="K103" s="1096">
        <f t="shared" ref="K103:AD103" si="94">SUM(K5:K102)</f>
        <v>21360000</v>
      </c>
      <c r="L103" s="1097"/>
      <c r="M103" s="1096">
        <f>SUM(M5:M102)</f>
        <v>326717600</v>
      </c>
      <c r="N103" s="1096"/>
      <c r="O103" s="1096">
        <f>SUM(O5:O102)</f>
        <v>54170400</v>
      </c>
      <c r="P103" s="1096">
        <f t="shared" si="94"/>
        <v>28020700</v>
      </c>
      <c r="Q103" s="1096">
        <f t="shared" si="94"/>
        <v>0</v>
      </c>
      <c r="R103" s="1096">
        <f>SUM(R5:R102)</f>
        <v>582936900</v>
      </c>
      <c r="S103" s="1096">
        <f t="shared" si="94"/>
        <v>175956370</v>
      </c>
      <c r="T103" s="1096">
        <f t="shared" si="94"/>
        <v>92120240</v>
      </c>
      <c r="U103" s="1096">
        <f t="shared" si="94"/>
        <v>74852190</v>
      </c>
      <c r="V103" s="1096">
        <f t="shared" si="94"/>
        <v>9588990</v>
      </c>
      <c r="W103" s="1096">
        <f t="shared" si="94"/>
        <v>21494730</v>
      </c>
      <c r="X103" s="1096">
        <f t="shared" si="94"/>
        <v>16376960</v>
      </c>
      <c r="Y103" s="1096">
        <f t="shared" si="94"/>
        <v>214433110</v>
      </c>
      <c r="Z103" s="1096">
        <f t="shared" si="94"/>
        <v>390389480</v>
      </c>
      <c r="AA103" s="1096">
        <f t="shared" si="94"/>
        <v>2533002380</v>
      </c>
      <c r="AB103" s="1096">
        <f t="shared" si="94"/>
        <v>137700000</v>
      </c>
      <c r="AC103" s="1096">
        <f t="shared" si="94"/>
        <v>28800000</v>
      </c>
      <c r="AD103" s="1096">
        <f t="shared" si="94"/>
        <v>166500000</v>
      </c>
      <c r="AE103" s="1096">
        <f>SUM(AE3:AE100)</f>
        <v>0</v>
      </c>
    </row>
    <row r="104" spans="1:31" ht="35.1" customHeight="1" x14ac:dyDescent="0.15">
      <c r="A104" s="1458" t="s">
        <v>1107</v>
      </c>
      <c r="B104" s="1458"/>
      <c r="C104" s="1458"/>
      <c r="D104" s="1458"/>
      <c r="E104" s="1458"/>
      <c r="F104" s="1458"/>
      <c r="G104" s="1458"/>
      <c r="H104" s="1458"/>
      <c r="I104" s="1458"/>
      <c r="J104" s="1458"/>
      <c r="K104" s="1458"/>
      <c r="L104" s="1458"/>
      <c r="M104" s="1458"/>
      <c r="N104" s="1458"/>
      <c r="O104" s="1458"/>
      <c r="P104" s="1458"/>
      <c r="Q104" s="1458"/>
      <c r="R104" s="1458"/>
      <c r="S104" s="1458"/>
      <c r="T104" s="1458"/>
      <c r="U104" s="1458"/>
      <c r="V104" s="1458"/>
      <c r="W104" s="1458"/>
      <c r="X104" s="1458"/>
      <c r="Y104" s="1458"/>
      <c r="Z104" s="1458"/>
      <c r="AA104" s="1458"/>
      <c r="AB104" s="862"/>
      <c r="AC104" s="862"/>
      <c r="AD104" s="862"/>
      <c r="AE104" s="863"/>
    </row>
    <row r="105" spans="1:31" ht="27" customHeight="1" x14ac:dyDescent="0.15"/>
    <row r="106" spans="1:31" s="1" customFormat="1" ht="30" customHeight="1" x14ac:dyDescent="0.15">
      <c r="A106" s="1452" t="s">
        <v>1303</v>
      </c>
      <c r="B106" s="1452"/>
      <c r="C106" s="1452"/>
      <c r="D106" s="1452"/>
      <c r="E106" s="1452"/>
      <c r="F106" s="1452"/>
      <c r="G106" s="1452"/>
      <c r="H106" s="1452"/>
      <c r="I106" s="1452"/>
      <c r="J106" s="1452"/>
      <c r="K106" s="1452"/>
      <c r="L106" s="1452"/>
      <c r="M106" s="1452"/>
      <c r="N106" s="1452"/>
      <c r="O106" s="1452"/>
      <c r="P106" s="1452"/>
      <c r="Q106" s="1452"/>
      <c r="R106" s="1452"/>
      <c r="S106" s="1452"/>
      <c r="T106" s="1452"/>
      <c r="U106" s="1452"/>
      <c r="V106" s="1452"/>
      <c r="W106" s="1452"/>
      <c r="X106" s="1452"/>
      <c r="Y106" s="1452"/>
      <c r="Z106" s="1452"/>
      <c r="AA106" s="1452"/>
      <c r="AB106" s="1452"/>
      <c r="AC106" s="1452"/>
      <c r="AD106" s="1452"/>
      <c r="AE106" s="1452"/>
    </row>
    <row r="107" spans="1:31" s="1" customFormat="1" ht="16.5" customHeight="1" x14ac:dyDescent="0.15">
      <c r="A107" s="1453" t="s">
        <v>1302</v>
      </c>
      <c r="B107" s="1454"/>
      <c r="C107" s="1454"/>
      <c r="D107" s="4"/>
      <c r="E107" s="4"/>
      <c r="F107" s="4"/>
      <c r="G107" s="4"/>
      <c r="H107" s="1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spans="1:31" s="1" customFormat="1" ht="20.25" customHeight="1" x14ac:dyDescent="0.15">
      <c r="A108" s="1446" t="s">
        <v>47</v>
      </c>
      <c r="B108" s="1446" t="s">
        <v>48</v>
      </c>
      <c r="C108" s="1446" t="s">
        <v>72</v>
      </c>
      <c r="D108" s="1446" t="s">
        <v>169</v>
      </c>
      <c r="E108" s="848"/>
      <c r="F108" s="848"/>
      <c r="G108" s="1446" t="s">
        <v>49</v>
      </c>
      <c r="H108" s="1444" t="s">
        <v>165</v>
      </c>
      <c r="I108" s="1444" t="s">
        <v>74</v>
      </c>
      <c r="J108" s="1448" t="s">
        <v>62</v>
      </c>
      <c r="K108" s="1449"/>
      <c r="L108" s="1449"/>
      <c r="M108" s="1449"/>
      <c r="N108" s="1449"/>
      <c r="O108" s="1449"/>
      <c r="P108" s="1449"/>
      <c r="Q108" s="1449"/>
      <c r="R108" s="1450"/>
      <c r="S108" s="1442" t="s">
        <v>53</v>
      </c>
      <c r="T108" s="1442" t="s">
        <v>160</v>
      </c>
      <c r="U108" s="1442" t="s">
        <v>161</v>
      </c>
      <c r="V108" s="1442" t="s">
        <v>164</v>
      </c>
      <c r="W108" s="1442" t="s">
        <v>162</v>
      </c>
      <c r="X108" s="1442" t="s">
        <v>163</v>
      </c>
      <c r="Y108" s="1442" t="s">
        <v>230</v>
      </c>
      <c r="Z108" s="1442" t="s">
        <v>170</v>
      </c>
      <c r="AA108" s="1444" t="s">
        <v>71</v>
      </c>
      <c r="AB108" s="1448" t="s">
        <v>68</v>
      </c>
      <c r="AC108" s="1449"/>
      <c r="AD108" s="1450"/>
      <c r="AE108" s="1444" t="s">
        <v>50</v>
      </c>
    </row>
    <row r="109" spans="1:31" s="1" customFormat="1" ht="30" customHeight="1" x14ac:dyDescent="0.15">
      <c r="A109" s="1447"/>
      <c r="B109" s="1447"/>
      <c r="C109" s="1447"/>
      <c r="D109" s="1447"/>
      <c r="E109" s="849"/>
      <c r="F109" s="849"/>
      <c r="G109" s="1447"/>
      <c r="H109" s="1445"/>
      <c r="I109" s="1445"/>
      <c r="J109" s="850" t="s">
        <v>441</v>
      </c>
      <c r="K109" s="850" t="s">
        <v>157</v>
      </c>
      <c r="L109" s="850" t="s">
        <v>168</v>
      </c>
      <c r="M109" s="850" t="s">
        <v>158</v>
      </c>
      <c r="N109" s="850" t="str">
        <f>N4</f>
        <v>휴일근로시간</v>
      </c>
      <c r="O109" s="850" t="str">
        <f>O4</f>
        <v>휴일근로수당</v>
      </c>
      <c r="P109" s="851" t="s">
        <v>159</v>
      </c>
      <c r="Q109" s="851" t="s">
        <v>231</v>
      </c>
      <c r="R109" s="850" t="s">
        <v>63</v>
      </c>
      <c r="S109" s="1443"/>
      <c r="T109" s="1443"/>
      <c r="U109" s="1443"/>
      <c r="V109" s="1443"/>
      <c r="W109" s="1443"/>
      <c r="X109" s="1443"/>
      <c r="Y109" s="1443"/>
      <c r="Z109" s="1443"/>
      <c r="AA109" s="1445"/>
      <c r="AB109" s="852" t="s">
        <v>228</v>
      </c>
      <c r="AC109" s="852" t="s">
        <v>229</v>
      </c>
      <c r="AD109" s="853" t="s">
        <v>69</v>
      </c>
      <c r="AE109" s="1445"/>
    </row>
    <row r="110" spans="1:31" s="1" customFormat="1" ht="24.95" customHeight="1" x14ac:dyDescent="0.15">
      <c r="A110" s="1430">
        <v>1</v>
      </c>
      <c r="B110" s="1432" t="s">
        <v>193</v>
      </c>
      <c r="C110" s="1432" t="s">
        <v>310</v>
      </c>
      <c r="D110" s="1432">
        <v>2</v>
      </c>
      <c r="E110" s="860"/>
      <c r="F110" s="854">
        <v>1</v>
      </c>
      <c r="G110" s="855" t="s">
        <v>1175</v>
      </c>
      <c r="H110" s="864">
        <v>2478000</v>
      </c>
      <c r="I110" s="865">
        <f t="shared" ref="I110:I115" si="95">H110*F110</f>
        <v>2478000</v>
      </c>
      <c r="J110" s="866"/>
      <c r="K110" s="867"/>
      <c r="L110" s="868">
        <f t="shared" ref="L110:L115" si="96">ROUND(H110*1/209*1.5,-1)</f>
        <v>17780</v>
      </c>
      <c r="M110" s="869">
        <f>(L110*40)*F110</f>
        <v>711200</v>
      </c>
      <c r="N110" s="869"/>
      <c r="O110" s="869"/>
      <c r="P110" s="869"/>
      <c r="Q110" s="869"/>
      <c r="R110" s="870">
        <f>SUM(J110,K110,M110,O110,P110)</f>
        <v>711200</v>
      </c>
      <c r="S110" s="871">
        <f>ROUNDUP((I110+J110+K110+M110+O110+P110+Q110)*1/12,-1)</f>
        <v>265770</v>
      </c>
      <c r="T110" s="871">
        <f>ROUND((I110+J110+K110+M110+O110+P110)*4.5%,-1)</f>
        <v>143510</v>
      </c>
      <c r="U110" s="871">
        <f t="shared" ref="U110" si="97">ROUNDUP((I110+J110+K110+M110+O110+P110)*3.545%,-1)</f>
        <v>113060</v>
      </c>
      <c r="V110" s="871">
        <f t="shared" ref="V110:V115" si="98">ROUNDUP(U110*12.81%,-1)</f>
        <v>14490</v>
      </c>
      <c r="W110" s="871">
        <f t="shared" ref="W110" si="99">ROUND((I110+J110+K110+M110+O110+P110)*1.05%,-1)</f>
        <v>33490</v>
      </c>
      <c r="X110" s="871">
        <f t="shared" ref="X110" si="100">ROUND((I110+J110+K110+M110+O110+P110)*0.8%,-1)</f>
        <v>25510</v>
      </c>
      <c r="Y110" s="869">
        <f t="shared" ref="Y110:Y115" si="101">SUM(T110:X110)</f>
        <v>330060</v>
      </c>
      <c r="Z110" s="872">
        <f t="shared" ref="Z110:Z115" si="102">SUM(S110,Y110)</f>
        <v>595830</v>
      </c>
      <c r="AA110" s="1434">
        <f>SUM(Z110,Z111,R110,R111,I110,I111)</f>
        <v>52968700</v>
      </c>
      <c r="AB110" s="873">
        <f>250000*12</f>
        <v>3000000</v>
      </c>
      <c r="AC110" s="873">
        <f>50000*12</f>
        <v>600000</v>
      </c>
      <c r="AD110" s="873">
        <f>AC110+AB110</f>
        <v>3600000</v>
      </c>
      <c r="AE110" s="1437"/>
    </row>
    <row r="111" spans="1:31" s="1" customFormat="1" ht="24.95" customHeight="1" x14ac:dyDescent="0.15">
      <c r="A111" s="1431"/>
      <c r="B111" s="1433"/>
      <c r="C111" s="1433"/>
      <c r="D111" s="1433"/>
      <c r="E111" s="861"/>
      <c r="F111" s="859">
        <v>11</v>
      </c>
      <c r="G111" s="855">
        <f>G110+1</f>
        <v>11</v>
      </c>
      <c r="H111" s="864">
        <v>2555000</v>
      </c>
      <c r="I111" s="865">
        <f t="shared" si="95"/>
        <v>28105000</v>
      </c>
      <c r="J111" s="866">
        <f>(H111*60%)*2</f>
        <v>3066000</v>
      </c>
      <c r="K111" s="867"/>
      <c r="L111" s="875">
        <f t="shared" si="96"/>
        <v>18340</v>
      </c>
      <c r="M111" s="869">
        <f>(L111*40)*F111</f>
        <v>8069600</v>
      </c>
      <c r="N111" s="869">
        <v>120</v>
      </c>
      <c r="O111" s="869">
        <f t="shared" ref="O111" si="103">N111*L111</f>
        <v>2200800</v>
      </c>
      <c r="P111" s="869"/>
      <c r="Q111" s="869"/>
      <c r="R111" s="870">
        <f t="shared" ref="R111:R115" si="104">SUM(J111,K111,M111,O111,P111)</f>
        <v>13336400</v>
      </c>
      <c r="S111" s="871">
        <f>ROUNDUP((I111+J111+K111+M111+O111+P111+Q111)*1/12,-1)</f>
        <v>3453450</v>
      </c>
      <c r="T111" s="871">
        <f>ROUND((I111+J111+K111+M111+O111+P111)*4.5%,-1)</f>
        <v>1864860</v>
      </c>
      <c r="U111" s="871">
        <f t="shared" ref="U111:U115" si="105">ROUNDUP((I111+J111+K111+M111+O111+P111)*3.545%,-1)</f>
        <v>1469100</v>
      </c>
      <c r="V111" s="871">
        <f t="shared" si="98"/>
        <v>188200</v>
      </c>
      <c r="W111" s="871">
        <f t="shared" ref="W111:W115" si="106">ROUND((I111+J111+K111+M111+O111+P111)*1.05%,-1)</f>
        <v>435130</v>
      </c>
      <c r="X111" s="871">
        <f t="shared" ref="X111:X115" si="107">ROUND((I111+J111+K111+M111+O111+P111)*0.8%,-1)</f>
        <v>331530</v>
      </c>
      <c r="Y111" s="869">
        <f t="shared" si="101"/>
        <v>4288820</v>
      </c>
      <c r="Z111" s="872">
        <f t="shared" si="102"/>
        <v>7742270</v>
      </c>
      <c r="AA111" s="1435"/>
      <c r="AB111" s="876"/>
      <c r="AC111" s="876"/>
      <c r="AD111" s="876"/>
      <c r="AE111" s="1438"/>
    </row>
    <row r="112" spans="1:31" s="1" customFormat="1" ht="24.95" customHeight="1" x14ac:dyDescent="0.15">
      <c r="A112" s="1430">
        <v>2</v>
      </c>
      <c r="B112" s="1432" t="s">
        <v>219</v>
      </c>
      <c r="C112" s="1432" t="s">
        <v>311</v>
      </c>
      <c r="D112" s="1432">
        <v>3</v>
      </c>
      <c r="E112" s="860"/>
      <c r="F112" s="854">
        <v>2</v>
      </c>
      <c r="G112" s="855" t="s">
        <v>1171</v>
      </c>
      <c r="H112" s="864">
        <v>2151000</v>
      </c>
      <c r="I112" s="865">
        <f t="shared" si="95"/>
        <v>4302000</v>
      </c>
      <c r="J112" s="866">
        <f>H112*60%</f>
        <v>1290600</v>
      </c>
      <c r="K112" s="867">
        <f>40000*12</f>
        <v>480000</v>
      </c>
      <c r="L112" s="868">
        <f t="shared" si="96"/>
        <v>15440</v>
      </c>
      <c r="M112" s="869">
        <f>(L112*40)*F112</f>
        <v>1235200</v>
      </c>
      <c r="N112" s="869"/>
      <c r="O112" s="869"/>
      <c r="P112" s="869"/>
      <c r="Q112" s="869"/>
      <c r="R112" s="870">
        <f t="shared" si="104"/>
        <v>3005800</v>
      </c>
      <c r="S112" s="871">
        <f t="shared" ref="S112:S115" si="108">ROUNDUP((I112+J112+K112+M112+O112+P112+Q112)*1/12,-1)</f>
        <v>608990</v>
      </c>
      <c r="T112" s="871">
        <f t="shared" ref="T112:T115" si="109">ROUND((I112+J112+K112+M112+O112+P112)*4.5%,-1)</f>
        <v>328850</v>
      </c>
      <c r="U112" s="871">
        <f t="shared" si="105"/>
        <v>259070</v>
      </c>
      <c r="V112" s="871">
        <f t="shared" si="98"/>
        <v>33190</v>
      </c>
      <c r="W112" s="871">
        <f t="shared" si="106"/>
        <v>76730</v>
      </c>
      <c r="X112" s="871">
        <f t="shared" si="107"/>
        <v>58460</v>
      </c>
      <c r="Y112" s="869">
        <f t="shared" si="101"/>
        <v>756300</v>
      </c>
      <c r="Z112" s="872">
        <f t="shared" si="102"/>
        <v>1365290</v>
      </c>
      <c r="AA112" s="1434">
        <f>SUM(Z112,Z113,R112,R113,I112,I113)</f>
        <v>45819300</v>
      </c>
      <c r="AB112" s="873">
        <f>250000*12</f>
        <v>3000000</v>
      </c>
      <c r="AC112" s="873">
        <f>50000*12</f>
        <v>600000</v>
      </c>
      <c r="AD112" s="873">
        <f>AC112+AB112</f>
        <v>3600000</v>
      </c>
      <c r="AE112" s="1437"/>
    </row>
    <row r="113" spans="1:31" s="1" customFormat="1" ht="24.95" customHeight="1" x14ac:dyDescent="0.15">
      <c r="A113" s="1431"/>
      <c r="B113" s="1433"/>
      <c r="C113" s="1433"/>
      <c r="D113" s="1433"/>
      <c r="E113" s="861"/>
      <c r="F113" s="859">
        <v>10</v>
      </c>
      <c r="G113" s="855">
        <f>G112+1</f>
        <v>9</v>
      </c>
      <c r="H113" s="864">
        <v>2184000</v>
      </c>
      <c r="I113" s="865">
        <f t="shared" si="95"/>
        <v>21840000</v>
      </c>
      <c r="J113" s="866">
        <f>H113*60%</f>
        <v>1310400</v>
      </c>
      <c r="K113" s="867"/>
      <c r="L113" s="875">
        <f t="shared" si="96"/>
        <v>15670</v>
      </c>
      <c r="M113" s="869">
        <f>(L113*40)*F113</f>
        <v>6268000</v>
      </c>
      <c r="N113" s="869">
        <v>120</v>
      </c>
      <c r="O113" s="869">
        <f t="shared" ref="O113" si="110">N113*L113</f>
        <v>1880400</v>
      </c>
      <c r="P113" s="869"/>
      <c r="Q113" s="869"/>
      <c r="R113" s="870">
        <f t="shared" si="104"/>
        <v>9458800</v>
      </c>
      <c r="S113" s="871">
        <f>ROUNDUP((I113+J113+K113+M113+O113+P113+Q113)*1/12,-1)</f>
        <v>2608240</v>
      </c>
      <c r="T113" s="871">
        <f>ROUND((I113+J113+K113+M113+O113+P113)*4.5%,-1)</f>
        <v>1408450</v>
      </c>
      <c r="U113" s="871">
        <f t="shared" si="105"/>
        <v>1109550</v>
      </c>
      <c r="V113" s="871">
        <f t="shared" si="98"/>
        <v>142140</v>
      </c>
      <c r="W113" s="871">
        <f t="shared" si="106"/>
        <v>328640</v>
      </c>
      <c r="X113" s="871">
        <f t="shared" si="107"/>
        <v>250390</v>
      </c>
      <c r="Y113" s="869">
        <f t="shared" si="101"/>
        <v>3239170</v>
      </c>
      <c r="Z113" s="872">
        <f t="shared" si="102"/>
        <v>5847410</v>
      </c>
      <c r="AA113" s="1435"/>
      <c r="AB113" s="876"/>
      <c r="AC113" s="876"/>
      <c r="AD113" s="876"/>
      <c r="AE113" s="1438"/>
    </row>
    <row r="114" spans="1:31" s="1" customFormat="1" ht="24.95" customHeight="1" x14ac:dyDescent="0.15">
      <c r="A114" s="1430">
        <v>3</v>
      </c>
      <c r="B114" s="1451" t="s">
        <v>309</v>
      </c>
      <c r="C114" s="1432" t="s">
        <v>1105</v>
      </c>
      <c r="D114" s="1432">
        <v>3</v>
      </c>
      <c r="E114" s="860"/>
      <c r="F114" s="854">
        <v>2</v>
      </c>
      <c r="G114" s="855" t="s">
        <v>1106</v>
      </c>
      <c r="H114" s="864">
        <v>1924000</v>
      </c>
      <c r="I114" s="865">
        <f t="shared" si="95"/>
        <v>3848000</v>
      </c>
      <c r="J114" s="866">
        <f>H114*60%</f>
        <v>1154400</v>
      </c>
      <c r="K114" s="867">
        <f>(20000+60000)*12</f>
        <v>960000</v>
      </c>
      <c r="L114" s="868">
        <f t="shared" si="96"/>
        <v>13810</v>
      </c>
      <c r="M114" s="869">
        <f>(L114*20)*F114</f>
        <v>552400</v>
      </c>
      <c r="N114" s="869"/>
      <c r="O114" s="869"/>
      <c r="P114" s="869">
        <f>(L114*5)*F114</f>
        <v>138100</v>
      </c>
      <c r="Q114" s="869"/>
      <c r="R114" s="870">
        <f t="shared" si="104"/>
        <v>2804900</v>
      </c>
      <c r="S114" s="871">
        <f t="shared" si="108"/>
        <v>554410</v>
      </c>
      <c r="T114" s="871">
        <f t="shared" si="109"/>
        <v>299380</v>
      </c>
      <c r="U114" s="871">
        <f t="shared" si="105"/>
        <v>235850</v>
      </c>
      <c r="V114" s="871">
        <f t="shared" si="98"/>
        <v>30220</v>
      </c>
      <c r="W114" s="871">
        <f t="shared" si="106"/>
        <v>69860</v>
      </c>
      <c r="X114" s="871">
        <f t="shared" si="107"/>
        <v>53220</v>
      </c>
      <c r="Y114" s="869">
        <f t="shared" si="101"/>
        <v>688530</v>
      </c>
      <c r="Z114" s="872">
        <f t="shared" si="102"/>
        <v>1242940</v>
      </c>
      <c r="AA114" s="1434">
        <f>SUM(Z114,Z115,R114,R115,I114,I115)</f>
        <v>36447410</v>
      </c>
      <c r="AB114" s="873">
        <f>200000*12</f>
        <v>2400000</v>
      </c>
      <c r="AC114" s="873">
        <f>50000*12</f>
        <v>600000</v>
      </c>
      <c r="AD114" s="873">
        <f>AC114+AB114</f>
        <v>3000000</v>
      </c>
      <c r="AE114" s="1437"/>
    </row>
    <row r="115" spans="1:31" s="1" customFormat="1" ht="24.95" customHeight="1" x14ac:dyDescent="0.15">
      <c r="A115" s="1431"/>
      <c r="B115" s="1433"/>
      <c r="C115" s="1433"/>
      <c r="D115" s="1433"/>
      <c r="E115" s="861"/>
      <c r="F115" s="859">
        <v>10</v>
      </c>
      <c r="G115" s="855">
        <f>G114+1</f>
        <v>2</v>
      </c>
      <c r="H115" s="864">
        <v>1941000</v>
      </c>
      <c r="I115" s="865">
        <f t="shared" si="95"/>
        <v>19410000</v>
      </c>
      <c r="J115" s="866">
        <f>H115*60%</f>
        <v>1164600</v>
      </c>
      <c r="K115" s="867"/>
      <c r="L115" s="875">
        <f t="shared" si="96"/>
        <v>13930</v>
      </c>
      <c r="M115" s="869">
        <f>(L115*20)*F115</f>
        <v>2786000</v>
      </c>
      <c r="N115" s="869"/>
      <c r="O115" s="869"/>
      <c r="P115" s="869">
        <f>(L115*5)*F115</f>
        <v>696500</v>
      </c>
      <c r="Q115" s="869"/>
      <c r="R115" s="870">
        <f t="shared" si="104"/>
        <v>4647100</v>
      </c>
      <c r="S115" s="871">
        <f t="shared" si="108"/>
        <v>2004760</v>
      </c>
      <c r="T115" s="871">
        <f t="shared" si="109"/>
        <v>1082570</v>
      </c>
      <c r="U115" s="871">
        <f t="shared" si="105"/>
        <v>852830</v>
      </c>
      <c r="V115" s="871">
        <f t="shared" si="98"/>
        <v>109250</v>
      </c>
      <c r="W115" s="871">
        <f t="shared" si="106"/>
        <v>252600</v>
      </c>
      <c r="X115" s="871">
        <f t="shared" si="107"/>
        <v>192460</v>
      </c>
      <c r="Y115" s="869">
        <f t="shared" si="101"/>
        <v>2489710</v>
      </c>
      <c r="Z115" s="872">
        <f t="shared" si="102"/>
        <v>4494470</v>
      </c>
      <c r="AA115" s="1435"/>
      <c r="AB115" s="876"/>
      <c r="AC115" s="876"/>
      <c r="AD115" s="876"/>
      <c r="AE115" s="1438"/>
    </row>
    <row r="116" spans="1:31" s="96" customFormat="1" ht="35.1" customHeight="1" x14ac:dyDescent="0.15">
      <c r="A116" s="1439" t="s">
        <v>925</v>
      </c>
      <c r="B116" s="1440"/>
      <c r="C116" s="1440"/>
      <c r="D116" s="1440"/>
      <c r="E116" s="1440"/>
      <c r="F116" s="1440"/>
      <c r="G116" s="1440"/>
      <c r="H116" s="1441"/>
      <c r="I116" s="1098">
        <f t="shared" ref="I116:S116" si="111">SUM(I110:I115)</f>
        <v>79983000</v>
      </c>
      <c r="J116" s="1098">
        <f t="shared" si="111"/>
        <v>7986000</v>
      </c>
      <c r="K116" s="1098">
        <f t="shared" si="111"/>
        <v>1440000</v>
      </c>
      <c r="L116" s="1098"/>
      <c r="M116" s="1098">
        <f t="shared" si="111"/>
        <v>19622400</v>
      </c>
      <c r="N116" s="1098"/>
      <c r="O116" s="1098">
        <f>SUM(O110:O115)</f>
        <v>4081200</v>
      </c>
      <c r="P116" s="1098">
        <f t="shared" si="111"/>
        <v>834600</v>
      </c>
      <c r="Q116" s="1098">
        <f t="shared" si="111"/>
        <v>0</v>
      </c>
      <c r="R116" s="1098">
        <f>SUM(R110:R115)</f>
        <v>33964200</v>
      </c>
      <c r="S116" s="1098">
        <f t="shared" si="111"/>
        <v>9495620</v>
      </c>
      <c r="T116" s="1098">
        <f t="shared" ref="T116:Y116" si="112">SUM(T110:T115)</f>
        <v>5127620</v>
      </c>
      <c r="U116" s="1098">
        <f t="shared" si="112"/>
        <v>4039460</v>
      </c>
      <c r="V116" s="1098">
        <f t="shared" si="112"/>
        <v>517490</v>
      </c>
      <c r="W116" s="1098">
        <f t="shared" si="112"/>
        <v>1196450</v>
      </c>
      <c r="X116" s="1098">
        <f t="shared" si="112"/>
        <v>911570</v>
      </c>
      <c r="Y116" s="1098">
        <f t="shared" si="112"/>
        <v>11792590</v>
      </c>
      <c r="Z116" s="1098">
        <f>SUM(Z110:Z115)</f>
        <v>21288210</v>
      </c>
      <c r="AA116" s="1098">
        <f>SUM(AA110:AA115)</f>
        <v>135235410</v>
      </c>
      <c r="AB116" s="1098">
        <f>SUM(AB110:AB115)</f>
        <v>8400000</v>
      </c>
      <c r="AC116" s="1098">
        <f>SUM(AC110:AC115)</f>
        <v>1800000</v>
      </c>
      <c r="AD116" s="1098">
        <f>SUM(AD110:AD115)</f>
        <v>10200000</v>
      </c>
      <c r="AE116" s="1099"/>
    </row>
    <row r="117" spans="1:31" s="1" customFormat="1" ht="35.1" customHeight="1" x14ac:dyDescent="0.15">
      <c r="A117" s="1461" t="str">
        <f>A104</f>
        <v>※ 보건복지가족부 2022년 종사자 보수지급기준표 적용.</v>
      </c>
      <c r="B117" s="1461"/>
      <c r="C117" s="1461"/>
      <c r="D117" s="1461"/>
      <c r="E117" s="1461"/>
      <c r="F117" s="1461"/>
      <c r="G117" s="1461"/>
      <c r="H117" s="1461"/>
      <c r="I117" s="1461"/>
      <c r="J117" s="1461"/>
      <c r="K117" s="1461"/>
      <c r="L117" s="1461"/>
      <c r="M117" s="1461"/>
      <c r="N117" s="1461"/>
      <c r="O117" s="1461"/>
      <c r="P117" s="1461"/>
      <c r="Q117" s="1461"/>
      <c r="R117" s="1461"/>
      <c r="S117" s="1461"/>
      <c r="T117" s="1461"/>
      <c r="U117" s="1461"/>
      <c r="V117" s="1461"/>
      <c r="W117" s="1461"/>
      <c r="X117" s="1461"/>
      <c r="Y117" s="1461"/>
      <c r="Z117" s="1461"/>
      <c r="AA117" s="1461"/>
      <c r="AB117" s="820"/>
      <c r="AC117" s="820"/>
      <c r="AD117" s="820"/>
      <c r="AE117" s="2"/>
    </row>
    <row r="118" spans="1:31" ht="31.5" customHeight="1" x14ac:dyDescent="0.15"/>
    <row r="119" spans="1:31" s="1" customFormat="1" ht="30.75" customHeight="1" x14ac:dyDescent="0.15">
      <c r="A119" s="1452" t="s">
        <v>652</v>
      </c>
      <c r="B119" s="1452"/>
      <c r="C119" s="1452"/>
      <c r="D119" s="1452"/>
      <c r="E119" s="1452"/>
      <c r="F119" s="1452"/>
      <c r="G119" s="1452"/>
      <c r="H119" s="1452"/>
      <c r="I119" s="1452"/>
      <c r="J119" s="1452"/>
      <c r="K119" s="1452"/>
      <c r="L119" s="1452"/>
      <c r="M119" s="1452"/>
      <c r="N119" s="1452"/>
      <c r="O119" s="1452"/>
      <c r="P119" s="1452"/>
      <c r="Q119" s="1452"/>
      <c r="R119" s="1452"/>
      <c r="S119" s="1452"/>
      <c r="T119" s="1452"/>
      <c r="U119" s="1452"/>
      <c r="V119" s="1452"/>
      <c r="W119" s="1452"/>
      <c r="X119" s="1452"/>
      <c r="Y119" s="1452"/>
      <c r="Z119" s="1452"/>
      <c r="AA119" s="1452"/>
      <c r="AB119" s="1452"/>
      <c r="AC119" s="1452"/>
      <c r="AD119" s="1452"/>
      <c r="AE119" s="1452"/>
    </row>
    <row r="120" spans="1:31" s="1" customFormat="1" ht="22.5" customHeight="1" x14ac:dyDescent="0.15">
      <c r="A120" s="1453" t="s">
        <v>883</v>
      </c>
      <c r="B120" s="1454"/>
      <c r="C120" s="1454"/>
      <c r="D120" s="1454"/>
      <c r="E120" s="4"/>
      <c r="F120" s="4"/>
      <c r="G120" s="4"/>
      <c r="H120" s="1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</row>
    <row r="121" spans="1:31" s="1" customFormat="1" ht="20.25" customHeight="1" x14ac:dyDescent="0.15">
      <c r="A121" s="1446" t="s">
        <v>47</v>
      </c>
      <c r="B121" s="1446" t="s">
        <v>48</v>
      </c>
      <c r="C121" s="1446" t="s">
        <v>72</v>
      </c>
      <c r="D121" s="1446" t="s">
        <v>169</v>
      </c>
      <c r="E121" s="848"/>
      <c r="F121" s="848"/>
      <c r="G121" s="1446" t="s">
        <v>49</v>
      </c>
      <c r="H121" s="1444" t="s">
        <v>165</v>
      </c>
      <c r="I121" s="1444" t="s">
        <v>74</v>
      </c>
      <c r="J121" s="1448" t="s">
        <v>62</v>
      </c>
      <c r="K121" s="1449"/>
      <c r="L121" s="1449"/>
      <c r="M121" s="1449"/>
      <c r="N121" s="1449"/>
      <c r="O121" s="1449"/>
      <c r="P121" s="1449"/>
      <c r="Q121" s="1449"/>
      <c r="R121" s="1450"/>
      <c r="S121" s="1442" t="s">
        <v>53</v>
      </c>
      <c r="T121" s="1442" t="s">
        <v>160</v>
      </c>
      <c r="U121" s="1442" t="s">
        <v>161</v>
      </c>
      <c r="V121" s="1442" t="s">
        <v>164</v>
      </c>
      <c r="W121" s="1442" t="s">
        <v>162</v>
      </c>
      <c r="X121" s="1442" t="s">
        <v>163</v>
      </c>
      <c r="Y121" s="1442" t="s">
        <v>230</v>
      </c>
      <c r="Z121" s="1442" t="s">
        <v>170</v>
      </c>
      <c r="AA121" s="1444" t="s">
        <v>71</v>
      </c>
      <c r="AB121" s="1448" t="s">
        <v>68</v>
      </c>
      <c r="AC121" s="1449"/>
      <c r="AD121" s="1450"/>
      <c r="AE121" s="1444" t="s">
        <v>50</v>
      </c>
    </row>
    <row r="122" spans="1:31" s="1" customFormat="1" ht="24.75" customHeight="1" x14ac:dyDescent="0.15">
      <c r="A122" s="1447"/>
      <c r="B122" s="1447"/>
      <c r="C122" s="1447"/>
      <c r="D122" s="1447"/>
      <c r="E122" s="849"/>
      <c r="F122" s="849"/>
      <c r="G122" s="1447"/>
      <c r="H122" s="1445"/>
      <c r="I122" s="1445"/>
      <c r="J122" s="850" t="s">
        <v>441</v>
      </c>
      <c r="K122" s="850" t="s">
        <v>157</v>
      </c>
      <c r="L122" s="850" t="s">
        <v>168</v>
      </c>
      <c r="M122" s="850" t="s">
        <v>158</v>
      </c>
      <c r="N122" s="850" t="str">
        <f>N4</f>
        <v>휴일근로시간</v>
      </c>
      <c r="O122" s="850" t="str">
        <f>O4</f>
        <v>휴일근로수당</v>
      </c>
      <c r="P122" s="851" t="s">
        <v>159</v>
      </c>
      <c r="Q122" s="851" t="s">
        <v>231</v>
      </c>
      <c r="R122" s="850" t="s">
        <v>63</v>
      </c>
      <c r="S122" s="1443"/>
      <c r="T122" s="1443"/>
      <c r="U122" s="1443"/>
      <c r="V122" s="1443"/>
      <c r="W122" s="1443"/>
      <c r="X122" s="1443"/>
      <c r="Y122" s="1443"/>
      <c r="Z122" s="1443"/>
      <c r="AA122" s="1445"/>
      <c r="AB122" s="852" t="s">
        <v>228</v>
      </c>
      <c r="AC122" s="852" t="s">
        <v>229</v>
      </c>
      <c r="AD122" s="853" t="s">
        <v>69</v>
      </c>
      <c r="AE122" s="1445"/>
    </row>
    <row r="123" spans="1:31" s="1" customFormat="1" ht="24.95" customHeight="1" x14ac:dyDescent="0.15">
      <c r="A123" s="1430">
        <v>1</v>
      </c>
      <c r="B123" s="1432" t="s">
        <v>193</v>
      </c>
      <c r="C123" s="1432" t="s">
        <v>224</v>
      </c>
      <c r="D123" s="1432">
        <v>1</v>
      </c>
      <c r="E123" s="1432">
        <f>F123+F124</f>
        <v>12</v>
      </c>
      <c r="F123" s="854">
        <v>12</v>
      </c>
      <c r="G123" s="855" t="s">
        <v>1176</v>
      </c>
      <c r="H123" s="864">
        <v>2036000</v>
      </c>
      <c r="I123" s="865">
        <f t="shared" ref="I123:I146" si="113">H123*F123</f>
        <v>24432000</v>
      </c>
      <c r="J123" s="866">
        <f>(H123*60%)*2</f>
        <v>2443200</v>
      </c>
      <c r="K123" s="867">
        <f>40000*12</f>
        <v>480000</v>
      </c>
      <c r="L123" s="868">
        <f>ROUND(H123*1/209*1.5,-1)</f>
        <v>14610</v>
      </c>
      <c r="M123" s="869">
        <f>(L123*40)*F123</f>
        <v>7012800</v>
      </c>
      <c r="N123" s="869">
        <v>120</v>
      </c>
      <c r="O123" s="869">
        <f t="shared" ref="O123" si="114">N123*L123</f>
        <v>1753200</v>
      </c>
      <c r="P123" s="869"/>
      <c r="Q123" s="869"/>
      <c r="R123" s="870">
        <f t="shared" ref="R123" si="115">SUM(J123,K123,M123,O123,P123)</f>
        <v>11689200</v>
      </c>
      <c r="S123" s="871">
        <f t="shared" ref="S123" si="116">ROUNDUP((I123+J123+K123+M123+O123+P123+Q123)*1/12,-1)</f>
        <v>3010100</v>
      </c>
      <c r="T123" s="871">
        <f t="shared" ref="T123" si="117">ROUND((I123+J123+K123+M123+O123+P123)*4.5%,-1)</f>
        <v>1625450</v>
      </c>
      <c r="U123" s="871">
        <f t="shared" ref="U123" si="118">ROUNDUP((I123+J123+K123+M123+O123+P123)*3.545%,-1)</f>
        <v>1280500</v>
      </c>
      <c r="V123" s="871">
        <f t="shared" ref="V123:V146" si="119">ROUNDUP(U123*12.81%,-1)</f>
        <v>164040</v>
      </c>
      <c r="W123" s="871">
        <f t="shared" ref="W123" si="120">ROUND((I123+J123+K123+M123+O123+P123)*1.05%,-1)</f>
        <v>379270</v>
      </c>
      <c r="X123" s="871">
        <f t="shared" ref="X123" si="121">ROUND((I123+J123+K123+M123+O123+P123)*0.8%,-1)</f>
        <v>288970</v>
      </c>
      <c r="Y123" s="869">
        <f>SUM(T123:X123)</f>
        <v>3738230</v>
      </c>
      <c r="Z123" s="872">
        <f>SUM(S123,Y123)</f>
        <v>6748330</v>
      </c>
      <c r="AA123" s="1153">
        <f>SUM(Z123,Z124,R123,R124,I123,I124)</f>
        <v>42869530</v>
      </c>
      <c r="AB123" s="873">
        <f>200000*12</f>
        <v>2400000</v>
      </c>
      <c r="AC123" s="873">
        <f t="shared" ref="AC123:AC141" si="122">50000*12</f>
        <v>600000</v>
      </c>
      <c r="AD123" s="873">
        <f>AC123+AB123</f>
        <v>3000000</v>
      </c>
      <c r="AE123" s="1151"/>
    </row>
    <row r="124" spans="1:31" s="1" customFormat="1" ht="24.95" customHeight="1" x14ac:dyDescent="0.15">
      <c r="A124" s="1431"/>
      <c r="B124" s="1433"/>
      <c r="C124" s="1433"/>
      <c r="D124" s="1433"/>
      <c r="E124" s="1433"/>
      <c r="F124" s="859"/>
      <c r="G124" s="855"/>
      <c r="H124" s="864"/>
      <c r="I124" s="865">
        <f t="shared" si="113"/>
        <v>0</v>
      </c>
      <c r="J124" s="866">
        <f>H124*60%</f>
        <v>0</v>
      </c>
      <c r="K124" s="867"/>
      <c r="L124" s="875">
        <f>ROUND(H124*1/209*1.5,-1)</f>
        <v>0</v>
      </c>
      <c r="M124" s="869">
        <f>(L124*40)*F124</f>
        <v>0</v>
      </c>
      <c r="N124" s="869"/>
      <c r="O124" s="869"/>
      <c r="P124" s="869"/>
      <c r="Q124" s="869"/>
      <c r="R124" s="870">
        <f t="shared" ref="R124:R148" si="123">SUM(J124,K124,M124,O124,P124)</f>
        <v>0</v>
      </c>
      <c r="S124" s="871">
        <f t="shared" ref="S124:S148" si="124">ROUNDUP((I124+J124+K124+M124+O124+P124+Q124)*1/12,-1)</f>
        <v>0</v>
      </c>
      <c r="T124" s="871">
        <f t="shared" ref="T124:T148" si="125">ROUND((I124+J124+K124+M124+O124+P124)*4.5%,-1)</f>
        <v>0</v>
      </c>
      <c r="U124" s="871">
        <f t="shared" ref="U124:U146" si="126">ROUNDUP((I124+J124+K124+M124+O124+P124)*3.545%,-1)</f>
        <v>0</v>
      </c>
      <c r="V124" s="871">
        <f t="shared" si="119"/>
        <v>0</v>
      </c>
      <c r="W124" s="871">
        <f t="shared" ref="W124:W148" si="127">ROUND((I124+J124+K124+M124+O124+P124)*1.05%,-1)</f>
        <v>0</v>
      </c>
      <c r="X124" s="871">
        <f t="shared" ref="X124:X148" si="128">ROUND((I124+J124+K124+M124+O124+P124)*0.8%,-1)</f>
        <v>0</v>
      </c>
      <c r="Y124" s="869">
        <f>SUM(T124:X124)</f>
        <v>0</v>
      </c>
      <c r="Z124" s="872">
        <f>SUM(S124,Y124)</f>
        <v>0</v>
      </c>
      <c r="AA124" s="1154"/>
      <c r="AB124" s="876"/>
      <c r="AC124" s="876"/>
      <c r="AD124" s="876"/>
      <c r="AE124" s="1152"/>
    </row>
    <row r="125" spans="1:31" s="1" customFormat="1" ht="24.95" customHeight="1" x14ac:dyDescent="0.15">
      <c r="A125" s="1430">
        <v>2</v>
      </c>
      <c r="B125" s="1432" t="s">
        <v>193</v>
      </c>
      <c r="C125" s="1432" t="s">
        <v>315</v>
      </c>
      <c r="D125" s="1432">
        <v>10</v>
      </c>
      <c r="E125" s="1432">
        <f>F125+F126</f>
        <v>12</v>
      </c>
      <c r="F125" s="854">
        <v>9</v>
      </c>
      <c r="G125" s="855" t="s">
        <v>183</v>
      </c>
      <c r="H125" s="864">
        <v>2099000</v>
      </c>
      <c r="I125" s="865">
        <f t="shared" si="113"/>
        <v>18891000</v>
      </c>
      <c r="J125" s="866">
        <f>H125*60%</f>
        <v>1259400</v>
      </c>
      <c r="K125" s="867"/>
      <c r="L125" s="868">
        <f t="shared" ref="L125:L146" si="129">ROUND(H125*1/209*1.5,-1)</f>
        <v>15060</v>
      </c>
      <c r="M125" s="869">
        <f t="shared" ref="M125:M146" si="130">(L125*40)*F125</f>
        <v>5421600</v>
      </c>
      <c r="N125" s="869"/>
      <c r="O125" s="869"/>
      <c r="P125" s="869"/>
      <c r="Q125" s="869"/>
      <c r="R125" s="870">
        <f t="shared" si="123"/>
        <v>6681000</v>
      </c>
      <c r="S125" s="871">
        <f t="shared" si="124"/>
        <v>2131000</v>
      </c>
      <c r="T125" s="871">
        <f t="shared" si="125"/>
        <v>1150740</v>
      </c>
      <c r="U125" s="871">
        <f t="shared" si="126"/>
        <v>906530</v>
      </c>
      <c r="V125" s="871">
        <f t="shared" si="119"/>
        <v>116130</v>
      </c>
      <c r="W125" s="871">
        <f t="shared" si="127"/>
        <v>268510</v>
      </c>
      <c r="X125" s="871">
        <f t="shared" si="128"/>
        <v>204580</v>
      </c>
      <c r="Y125" s="869">
        <f t="shared" ref="Y125:Y146" si="131">SUM(T125:X125)</f>
        <v>2646490</v>
      </c>
      <c r="Z125" s="872">
        <f t="shared" ref="Z125:Z146" si="132">SUM(S125,Y125)</f>
        <v>4777490</v>
      </c>
      <c r="AA125" s="1153">
        <f>SUM(Z125,Z126,R125,R126,I125,I126)</f>
        <v>44018860</v>
      </c>
      <c r="AB125" s="873">
        <f>200000*9</f>
        <v>1800000</v>
      </c>
      <c r="AC125" s="873">
        <f t="shared" si="122"/>
        <v>600000</v>
      </c>
      <c r="AD125" s="873">
        <f>AC125+AB125</f>
        <v>2400000</v>
      </c>
      <c r="AE125" s="1151"/>
    </row>
    <row r="126" spans="1:31" s="1" customFormat="1" ht="24.95" customHeight="1" x14ac:dyDescent="0.15">
      <c r="A126" s="1431"/>
      <c r="B126" s="1433"/>
      <c r="C126" s="1433"/>
      <c r="D126" s="1433"/>
      <c r="E126" s="1433"/>
      <c r="F126" s="859">
        <v>3</v>
      </c>
      <c r="G126" s="855">
        <f>G125+1</f>
        <v>6</v>
      </c>
      <c r="H126" s="864">
        <v>2164000</v>
      </c>
      <c r="I126" s="865">
        <f t="shared" si="113"/>
        <v>6492000</v>
      </c>
      <c r="J126" s="866">
        <f>H126*60%</f>
        <v>1298400</v>
      </c>
      <c r="K126" s="867"/>
      <c r="L126" s="875">
        <f t="shared" si="129"/>
        <v>15530</v>
      </c>
      <c r="M126" s="869">
        <f t="shared" si="130"/>
        <v>1863600</v>
      </c>
      <c r="N126" s="869">
        <v>120</v>
      </c>
      <c r="O126" s="869">
        <f t="shared" ref="O126:O127" si="133">N126*L126</f>
        <v>1863600</v>
      </c>
      <c r="P126" s="869"/>
      <c r="Q126" s="869"/>
      <c r="R126" s="870">
        <f t="shared" si="123"/>
        <v>5025600</v>
      </c>
      <c r="S126" s="871">
        <f t="shared" si="124"/>
        <v>959800</v>
      </c>
      <c r="T126" s="871">
        <f t="shared" si="125"/>
        <v>518290</v>
      </c>
      <c r="U126" s="871">
        <f t="shared" si="126"/>
        <v>408300</v>
      </c>
      <c r="V126" s="871">
        <f t="shared" si="119"/>
        <v>52310</v>
      </c>
      <c r="W126" s="871">
        <f t="shared" si="127"/>
        <v>120930</v>
      </c>
      <c r="X126" s="871">
        <f t="shared" si="128"/>
        <v>92140</v>
      </c>
      <c r="Y126" s="869">
        <f t="shared" si="131"/>
        <v>1191970</v>
      </c>
      <c r="Z126" s="872">
        <f t="shared" si="132"/>
        <v>2151770</v>
      </c>
      <c r="AA126" s="1154"/>
      <c r="AB126" s="876">
        <f>250000*3</f>
        <v>750000</v>
      </c>
      <c r="AC126" s="876"/>
      <c r="AD126" s="876"/>
      <c r="AE126" s="1152"/>
    </row>
    <row r="127" spans="1:31" s="1" customFormat="1" ht="24.95" customHeight="1" x14ac:dyDescent="0.15">
      <c r="A127" s="1430">
        <v>3</v>
      </c>
      <c r="B127" s="1432" t="s">
        <v>193</v>
      </c>
      <c r="C127" s="1432" t="s">
        <v>316</v>
      </c>
      <c r="D127" s="1432">
        <v>1</v>
      </c>
      <c r="E127" s="1432">
        <f>F127+F128</f>
        <v>12</v>
      </c>
      <c r="F127" s="854">
        <v>12</v>
      </c>
      <c r="G127" s="855" t="s">
        <v>1177</v>
      </c>
      <c r="H127" s="864">
        <v>2036000</v>
      </c>
      <c r="I127" s="865">
        <f t="shared" si="113"/>
        <v>24432000</v>
      </c>
      <c r="J127" s="866">
        <f>(H127*60%)*2</f>
        <v>2443200</v>
      </c>
      <c r="K127" s="867"/>
      <c r="L127" s="868">
        <f t="shared" si="129"/>
        <v>14610</v>
      </c>
      <c r="M127" s="869">
        <f t="shared" si="130"/>
        <v>7012800</v>
      </c>
      <c r="N127" s="869"/>
      <c r="O127" s="869">
        <f t="shared" si="133"/>
        <v>0</v>
      </c>
      <c r="P127" s="869"/>
      <c r="Q127" s="869"/>
      <c r="R127" s="870">
        <f t="shared" si="123"/>
        <v>9456000</v>
      </c>
      <c r="S127" s="871">
        <f t="shared" si="124"/>
        <v>2824000</v>
      </c>
      <c r="T127" s="871">
        <f t="shared" si="125"/>
        <v>1524960</v>
      </c>
      <c r="U127" s="871">
        <f t="shared" si="126"/>
        <v>1201330</v>
      </c>
      <c r="V127" s="871">
        <f t="shared" si="119"/>
        <v>153900</v>
      </c>
      <c r="W127" s="871">
        <f t="shared" si="127"/>
        <v>355820</v>
      </c>
      <c r="X127" s="871">
        <f t="shared" si="128"/>
        <v>271100</v>
      </c>
      <c r="Y127" s="869">
        <f t="shared" si="131"/>
        <v>3507110</v>
      </c>
      <c r="Z127" s="872">
        <f t="shared" si="132"/>
        <v>6331110</v>
      </c>
      <c r="AA127" s="1153">
        <f>SUM(Z127,Z128,R127,R128,I127,I128)</f>
        <v>40219110</v>
      </c>
      <c r="AB127" s="873">
        <f>200000*12</f>
        <v>2400000</v>
      </c>
      <c r="AC127" s="873">
        <f t="shared" si="122"/>
        <v>600000</v>
      </c>
      <c r="AD127" s="873">
        <f>AC127+AB127</f>
        <v>3000000</v>
      </c>
      <c r="AE127" s="1151"/>
    </row>
    <row r="128" spans="1:31" s="1" customFormat="1" ht="24.95" customHeight="1" x14ac:dyDescent="0.15">
      <c r="A128" s="1431"/>
      <c r="B128" s="1433"/>
      <c r="C128" s="1433"/>
      <c r="D128" s="1433"/>
      <c r="E128" s="1433"/>
      <c r="F128" s="859"/>
      <c r="G128" s="855"/>
      <c r="H128" s="864"/>
      <c r="I128" s="865">
        <f t="shared" si="113"/>
        <v>0</v>
      </c>
      <c r="J128" s="866"/>
      <c r="K128" s="867"/>
      <c r="L128" s="875">
        <f t="shared" si="129"/>
        <v>0</v>
      </c>
      <c r="M128" s="869">
        <f t="shared" si="130"/>
        <v>0</v>
      </c>
      <c r="N128" s="869"/>
      <c r="O128" s="869"/>
      <c r="P128" s="869"/>
      <c r="Q128" s="869"/>
      <c r="R128" s="870">
        <f t="shared" si="123"/>
        <v>0</v>
      </c>
      <c r="S128" s="871">
        <f t="shared" si="124"/>
        <v>0</v>
      </c>
      <c r="T128" s="871">
        <f t="shared" si="125"/>
        <v>0</v>
      </c>
      <c r="U128" s="871">
        <f t="shared" si="126"/>
        <v>0</v>
      </c>
      <c r="V128" s="871">
        <f t="shared" si="119"/>
        <v>0</v>
      </c>
      <c r="W128" s="871">
        <f t="shared" si="127"/>
        <v>0</v>
      </c>
      <c r="X128" s="871">
        <f t="shared" si="128"/>
        <v>0</v>
      </c>
      <c r="Y128" s="869">
        <f t="shared" si="131"/>
        <v>0</v>
      </c>
      <c r="Z128" s="872">
        <f t="shared" si="132"/>
        <v>0</v>
      </c>
      <c r="AA128" s="1154"/>
      <c r="AB128" s="876"/>
      <c r="AC128" s="876"/>
      <c r="AD128" s="876"/>
      <c r="AE128" s="1152"/>
    </row>
    <row r="129" spans="1:31" s="1" customFormat="1" ht="24.95" customHeight="1" x14ac:dyDescent="0.15">
      <c r="A129" s="1430">
        <v>4</v>
      </c>
      <c r="B129" s="1432" t="s">
        <v>193</v>
      </c>
      <c r="C129" s="1432" t="s">
        <v>317</v>
      </c>
      <c r="D129" s="1432">
        <v>1</v>
      </c>
      <c r="E129" s="1432">
        <f>F129+F130</f>
        <v>12</v>
      </c>
      <c r="F129" s="854">
        <v>12</v>
      </c>
      <c r="G129" s="855" t="s">
        <v>197</v>
      </c>
      <c r="H129" s="864">
        <v>2036000</v>
      </c>
      <c r="I129" s="865">
        <f t="shared" si="113"/>
        <v>24432000</v>
      </c>
      <c r="J129" s="866">
        <f>(H129*60%)*2</f>
        <v>2443200</v>
      </c>
      <c r="K129" s="867"/>
      <c r="L129" s="868">
        <f t="shared" si="129"/>
        <v>14610</v>
      </c>
      <c r="M129" s="869">
        <f t="shared" si="130"/>
        <v>7012800</v>
      </c>
      <c r="N129" s="869">
        <v>120</v>
      </c>
      <c r="O129" s="869">
        <f t="shared" ref="O129" si="134">N129*L129</f>
        <v>1753200</v>
      </c>
      <c r="P129" s="869"/>
      <c r="Q129" s="869"/>
      <c r="R129" s="870">
        <f t="shared" si="123"/>
        <v>11209200</v>
      </c>
      <c r="S129" s="871">
        <f t="shared" si="124"/>
        <v>2970100</v>
      </c>
      <c r="T129" s="871">
        <f t="shared" si="125"/>
        <v>1603850</v>
      </c>
      <c r="U129" s="871">
        <f t="shared" si="126"/>
        <v>1263490</v>
      </c>
      <c r="V129" s="871">
        <f t="shared" si="119"/>
        <v>161860</v>
      </c>
      <c r="W129" s="871">
        <f t="shared" si="127"/>
        <v>374230</v>
      </c>
      <c r="X129" s="871">
        <f t="shared" si="128"/>
        <v>285130</v>
      </c>
      <c r="Y129" s="869">
        <f t="shared" si="131"/>
        <v>3688560</v>
      </c>
      <c r="Z129" s="872">
        <f t="shared" si="132"/>
        <v>6658660</v>
      </c>
      <c r="AA129" s="1153">
        <f>SUM(Z129,Z130,R129,R130,I129,I130)</f>
        <v>42299860</v>
      </c>
      <c r="AB129" s="873">
        <f t="shared" ref="AB129:AB141" si="135">200000*12</f>
        <v>2400000</v>
      </c>
      <c r="AC129" s="873">
        <f t="shared" si="122"/>
        <v>600000</v>
      </c>
      <c r="AD129" s="873">
        <f>AC129+AB129</f>
        <v>3000000</v>
      </c>
      <c r="AE129" s="1151"/>
    </row>
    <row r="130" spans="1:31" s="1" customFormat="1" ht="24.95" customHeight="1" x14ac:dyDescent="0.15">
      <c r="A130" s="1431"/>
      <c r="B130" s="1433"/>
      <c r="C130" s="1433"/>
      <c r="D130" s="1433"/>
      <c r="E130" s="1433"/>
      <c r="F130" s="859"/>
      <c r="G130" s="855"/>
      <c r="H130" s="864"/>
      <c r="I130" s="865">
        <f t="shared" si="113"/>
        <v>0</v>
      </c>
      <c r="J130" s="866">
        <f t="shared" ref="J130:J136" si="136">H130*60%</f>
        <v>0</v>
      </c>
      <c r="K130" s="867"/>
      <c r="L130" s="875">
        <f t="shared" si="129"/>
        <v>0</v>
      </c>
      <c r="M130" s="869">
        <f t="shared" si="130"/>
        <v>0</v>
      </c>
      <c r="N130" s="869"/>
      <c r="O130" s="869"/>
      <c r="P130" s="869"/>
      <c r="Q130" s="869"/>
      <c r="R130" s="870">
        <f t="shared" si="123"/>
        <v>0</v>
      </c>
      <c r="S130" s="871">
        <f t="shared" si="124"/>
        <v>0</v>
      </c>
      <c r="T130" s="871">
        <f t="shared" si="125"/>
        <v>0</v>
      </c>
      <c r="U130" s="871">
        <f t="shared" si="126"/>
        <v>0</v>
      </c>
      <c r="V130" s="871">
        <f t="shared" si="119"/>
        <v>0</v>
      </c>
      <c r="W130" s="871">
        <f t="shared" si="127"/>
        <v>0</v>
      </c>
      <c r="X130" s="871">
        <f t="shared" si="128"/>
        <v>0</v>
      </c>
      <c r="Y130" s="869">
        <f t="shared" si="131"/>
        <v>0</v>
      </c>
      <c r="Z130" s="872">
        <f t="shared" si="132"/>
        <v>0</v>
      </c>
      <c r="AA130" s="1154"/>
      <c r="AB130" s="876"/>
      <c r="AC130" s="876"/>
      <c r="AD130" s="876"/>
      <c r="AE130" s="1152"/>
    </row>
    <row r="131" spans="1:31" s="1" customFormat="1" ht="24.95" customHeight="1" x14ac:dyDescent="0.15">
      <c r="A131" s="1430">
        <v>5</v>
      </c>
      <c r="B131" s="1432" t="s">
        <v>193</v>
      </c>
      <c r="C131" s="1432" t="s">
        <v>318</v>
      </c>
      <c r="D131" s="1432">
        <v>6</v>
      </c>
      <c r="E131" s="1432">
        <f>F131+F132</f>
        <v>12</v>
      </c>
      <c r="F131" s="854">
        <v>5</v>
      </c>
      <c r="G131" s="855" t="s">
        <v>183</v>
      </c>
      <c r="H131" s="864">
        <v>2099000</v>
      </c>
      <c r="I131" s="865">
        <f t="shared" si="113"/>
        <v>10495000</v>
      </c>
      <c r="J131" s="866">
        <f t="shared" si="136"/>
        <v>1259400</v>
      </c>
      <c r="K131" s="867">
        <f>20000*12</f>
        <v>240000</v>
      </c>
      <c r="L131" s="868">
        <f t="shared" si="129"/>
        <v>15060</v>
      </c>
      <c r="M131" s="869">
        <f t="shared" si="130"/>
        <v>3012000</v>
      </c>
      <c r="N131" s="869"/>
      <c r="O131" s="869"/>
      <c r="P131" s="869"/>
      <c r="Q131" s="869"/>
      <c r="R131" s="870">
        <f t="shared" si="123"/>
        <v>4511400</v>
      </c>
      <c r="S131" s="871">
        <f>ROUNDUP((I131+J131+K131+M131+O131+P131+Q131)*1/12,-1)</f>
        <v>1250540</v>
      </c>
      <c r="T131" s="871">
        <f>ROUND((I131+J131+K131+M131+O131+P131)*4.5%,-1)</f>
        <v>675290</v>
      </c>
      <c r="U131" s="871">
        <f t="shared" si="126"/>
        <v>531980</v>
      </c>
      <c r="V131" s="871">
        <f t="shared" si="119"/>
        <v>68150</v>
      </c>
      <c r="W131" s="871">
        <f t="shared" si="127"/>
        <v>157570</v>
      </c>
      <c r="X131" s="871">
        <f t="shared" si="128"/>
        <v>120050</v>
      </c>
      <c r="Y131" s="869">
        <f t="shared" si="131"/>
        <v>1553040</v>
      </c>
      <c r="Z131" s="872">
        <f t="shared" si="132"/>
        <v>2803580</v>
      </c>
      <c r="AA131" s="1153">
        <f>SUM(Z131,Z132,R131,R132,I131,I132)</f>
        <v>44701540</v>
      </c>
      <c r="AB131" s="873">
        <f>200000*5</f>
        <v>1000000</v>
      </c>
      <c r="AC131" s="873">
        <f t="shared" si="122"/>
        <v>600000</v>
      </c>
      <c r="AD131" s="873">
        <f>AC131+AB131</f>
        <v>1600000</v>
      </c>
      <c r="AE131" s="1151"/>
    </row>
    <row r="132" spans="1:31" s="1" customFormat="1" ht="24.95" customHeight="1" x14ac:dyDescent="0.15">
      <c r="A132" s="1431"/>
      <c r="B132" s="1433"/>
      <c r="C132" s="1433"/>
      <c r="D132" s="1433"/>
      <c r="E132" s="1433"/>
      <c r="F132" s="859">
        <v>7</v>
      </c>
      <c r="G132" s="855">
        <f>G131+1</f>
        <v>6</v>
      </c>
      <c r="H132" s="864">
        <v>2164000</v>
      </c>
      <c r="I132" s="865">
        <f t="shared" si="113"/>
        <v>15148000</v>
      </c>
      <c r="J132" s="866">
        <f t="shared" si="136"/>
        <v>1298400</v>
      </c>
      <c r="K132" s="867"/>
      <c r="L132" s="875">
        <f t="shared" si="129"/>
        <v>15530</v>
      </c>
      <c r="M132" s="869">
        <f t="shared" si="130"/>
        <v>4348400</v>
      </c>
      <c r="N132" s="869">
        <v>120</v>
      </c>
      <c r="O132" s="869">
        <f t="shared" ref="O132" si="137">N132*L132</f>
        <v>1863600</v>
      </c>
      <c r="P132" s="869"/>
      <c r="Q132" s="869"/>
      <c r="R132" s="870">
        <f t="shared" si="123"/>
        <v>7510400</v>
      </c>
      <c r="S132" s="871">
        <f t="shared" si="124"/>
        <v>1888200</v>
      </c>
      <c r="T132" s="871">
        <f t="shared" si="125"/>
        <v>1019630</v>
      </c>
      <c r="U132" s="871">
        <f t="shared" si="126"/>
        <v>803250</v>
      </c>
      <c r="V132" s="871">
        <f t="shared" si="119"/>
        <v>102900</v>
      </c>
      <c r="W132" s="871">
        <f t="shared" si="127"/>
        <v>237910</v>
      </c>
      <c r="X132" s="871">
        <f t="shared" si="128"/>
        <v>181270</v>
      </c>
      <c r="Y132" s="869">
        <f t="shared" si="131"/>
        <v>2344960</v>
      </c>
      <c r="Z132" s="872">
        <f t="shared" si="132"/>
        <v>4233160</v>
      </c>
      <c r="AA132" s="1154"/>
      <c r="AB132" s="876">
        <f>250000*6</f>
        <v>1500000</v>
      </c>
      <c r="AC132" s="876"/>
      <c r="AD132" s="876"/>
      <c r="AE132" s="1152"/>
    </row>
    <row r="133" spans="1:31" s="1" customFormat="1" ht="24.95" customHeight="1" x14ac:dyDescent="0.15">
      <c r="A133" s="1430">
        <v>6</v>
      </c>
      <c r="B133" s="1432" t="s">
        <v>193</v>
      </c>
      <c r="C133" s="1430" t="s">
        <v>319</v>
      </c>
      <c r="D133" s="1432">
        <v>7</v>
      </c>
      <c r="E133" s="1432">
        <f>F133+F134</f>
        <v>12</v>
      </c>
      <c r="F133" s="854">
        <v>6</v>
      </c>
      <c r="G133" s="855" t="s">
        <v>183</v>
      </c>
      <c r="H133" s="878">
        <v>2099000</v>
      </c>
      <c r="I133" s="865">
        <f t="shared" si="113"/>
        <v>12594000</v>
      </c>
      <c r="J133" s="866">
        <f t="shared" si="136"/>
        <v>1259400</v>
      </c>
      <c r="K133" s="867"/>
      <c r="L133" s="868">
        <f t="shared" si="129"/>
        <v>15060</v>
      </c>
      <c r="M133" s="869">
        <f t="shared" si="130"/>
        <v>3614400</v>
      </c>
      <c r="N133" s="869"/>
      <c r="O133" s="869"/>
      <c r="P133" s="869"/>
      <c r="Q133" s="888"/>
      <c r="R133" s="870">
        <f t="shared" si="123"/>
        <v>4873800</v>
      </c>
      <c r="S133" s="871">
        <f t="shared" si="124"/>
        <v>1455650</v>
      </c>
      <c r="T133" s="871">
        <f t="shared" si="125"/>
        <v>786050</v>
      </c>
      <c r="U133" s="871">
        <f t="shared" si="126"/>
        <v>619240</v>
      </c>
      <c r="V133" s="871">
        <f t="shared" si="119"/>
        <v>79330</v>
      </c>
      <c r="W133" s="871">
        <f t="shared" si="127"/>
        <v>183410</v>
      </c>
      <c r="X133" s="871">
        <f t="shared" si="128"/>
        <v>139740</v>
      </c>
      <c r="Y133" s="869">
        <f t="shared" si="131"/>
        <v>1807770</v>
      </c>
      <c r="Z133" s="872">
        <f t="shared" si="132"/>
        <v>3263420</v>
      </c>
      <c r="AA133" s="1153">
        <f>SUM(Z133,Z134,R133,R134,I133,I134)</f>
        <v>44317230</v>
      </c>
      <c r="AB133" s="873">
        <f>200000*5</f>
        <v>1000000</v>
      </c>
      <c r="AC133" s="873">
        <f t="shared" si="122"/>
        <v>600000</v>
      </c>
      <c r="AD133" s="873">
        <f>AC133+AB133</f>
        <v>1600000</v>
      </c>
      <c r="AE133" s="1151"/>
    </row>
    <row r="134" spans="1:31" s="1" customFormat="1" ht="24.95" customHeight="1" x14ac:dyDescent="0.15">
      <c r="A134" s="1431"/>
      <c r="B134" s="1433"/>
      <c r="C134" s="1431"/>
      <c r="D134" s="1433"/>
      <c r="E134" s="1433"/>
      <c r="F134" s="859">
        <v>6</v>
      </c>
      <c r="G134" s="855">
        <f>G133+1</f>
        <v>6</v>
      </c>
      <c r="H134" s="878">
        <v>2164000</v>
      </c>
      <c r="I134" s="865">
        <f t="shared" si="113"/>
        <v>12984000</v>
      </c>
      <c r="J134" s="866">
        <f t="shared" si="136"/>
        <v>1298400</v>
      </c>
      <c r="K134" s="867"/>
      <c r="L134" s="875">
        <f t="shared" si="129"/>
        <v>15530</v>
      </c>
      <c r="M134" s="869">
        <f t="shared" si="130"/>
        <v>3727200</v>
      </c>
      <c r="N134" s="869">
        <v>120</v>
      </c>
      <c r="O134" s="869">
        <f t="shared" ref="O134" si="138">N134*L134</f>
        <v>1863600</v>
      </c>
      <c r="P134" s="869"/>
      <c r="Q134" s="869"/>
      <c r="R134" s="870">
        <f t="shared" si="123"/>
        <v>6889200</v>
      </c>
      <c r="S134" s="871">
        <f t="shared" si="124"/>
        <v>1656100</v>
      </c>
      <c r="T134" s="871">
        <f t="shared" si="125"/>
        <v>894290</v>
      </c>
      <c r="U134" s="871">
        <f t="shared" si="126"/>
        <v>704510</v>
      </c>
      <c r="V134" s="871">
        <f t="shared" si="119"/>
        <v>90250</v>
      </c>
      <c r="W134" s="871">
        <f t="shared" si="127"/>
        <v>208670</v>
      </c>
      <c r="X134" s="871">
        <f t="shared" si="128"/>
        <v>158990</v>
      </c>
      <c r="Y134" s="869">
        <f t="shared" si="131"/>
        <v>2056710</v>
      </c>
      <c r="Z134" s="872">
        <f t="shared" si="132"/>
        <v>3712810</v>
      </c>
      <c r="AA134" s="1154"/>
      <c r="AB134" s="876">
        <f>250000*6</f>
        <v>1500000</v>
      </c>
      <c r="AC134" s="876"/>
      <c r="AD134" s="876"/>
      <c r="AE134" s="1152"/>
    </row>
    <row r="135" spans="1:31" s="1" customFormat="1" ht="24.95" customHeight="1" x14ac:dyDescent="0.15">
      <c r="A135" s="1430">
        <v>7</v>
      </c>
      <c r="B135" s="1432" t="s">
        <v>193</v>
      </c>
      <c r="C135" s="1430" t="s">
        <v>320</v>
      </c>
      <c r="D135" s="1432">
        <v>7</v>
      </c>
      <c r="E135" s="1432">
        <f>F135+F136</f>
        <v>12</v>
      </c>
      <c r="F135" s="854">
        <v>6</v>
      </c>
      <c r="G135" s="855" t="s">
        <v>213</v>
      </c>
      <c r="H135" s="878">
        <v>1978000</v>
      </c>
      <c r="I135" s="865">
        <f t="shared" si="113"/>
        <v>11868000</v>
      </c>
      <c r="J135" s="866">
        <f t="shared" si="136"/>
        <v>1186800</v>
      </c>
      <c r="K135" s="867"/>
      <c r="L135" s="868">
        <f t="shared" si="129"/>
        <v>14200</v>
      </c>
      <c r="M135" s="869">
        <f t="shared" si="130"/>
        <v>3408000</v>
      </c>
      <c r="N135" s="869"/>
      <c r="O135" s="869"/>
      <c r="P135" s="869"/>
      <c r="Q135" s="869"/>
      <c r="R135" s="870">
        <f t="shared" si="123"/>
        <v>4594800</v>
      </c>
      <c r="S135" s="871">
        <f t="shared" si="124"/>
        <v>1371900</v>
      </c>
      <c r="T135" s="871">
        <f t="shared" si="125"/>
        <v>740830</v>
      </c>
      <c r="U135" s="871">
        <f t="shared" si="126"/>
        <v>583610</v>
      </c>
      <c r="V135" s="871">
        <f t="shared" si="119"/>
        <v>74770</v>
      </c>
      <c r="W135" s="871">
        <f t="shared" si="127"/>
        <v>172860</v>
      </c>
      <c r="X135" s="871">
        <f t="shared" si="128"/>
        <v>131700</v>
      </c>
      <c r="Y135" s="869">
        <f t="shared" si="131"/>
        <v>1703770</v>
      </c>
      <c r="Z135" s="872">
        <f t="shared" si="132"/>
        <v>3075670</v>
      </c>
      <c r="AA135" s="1153">
        <f>SUM(Z135,Z136,R135,R136,I135,I136)</f>
        <v>41728770</v>
      </c>
      <c r="AB135" s="873">
        <f t="shared" si="135"/>
        <v>2400000</v>
      </c>
      <c r="AC135" s="873">
        <f t="shared" si="122"/>
        <v>600000</v>
      </c>
      <c r="AD135" s="873">
        <f>AC135+AB135</f>
        <v>3000000</v>
      </c>
      <c r="AE135" s="1151"/>
    </row>
    <row r="136" spans="1:31" s="1" customFormat="1" ht="24.95" customHeight="1" x14ac:dyDescent="0.15">
      <c r="A136" s="1431"/>
      <c r="B136" s="1433"/>
      <c r="C136" s="1431"/>
      <c r="D136" s="1433"/>
      <c r="E136" s="1433"/>
      <c r="F136" s="859">
        <v>6</v>
      </c>
      <c r="G136" s="855">
        <f>G135+1</f>
        <v>4</v>
      </c>
      <c r="H136" s="878">
        <v>2036000</v>
      </c>
      <c r="I136" s="865">
        <f t="shared" si="113"/>
        <v>12216000</v>
      </c>
      <c r="J136" s="866">
        <f t="shared" si="136"/>
        <v>1221600</v>
      </c>
      <c r="K136" s="867"/>
      <c r="L136" s="875">
        <f t="shared" si="129"/>
        <v>14610</v>
      </c>
      <c r="M136" s="869">
        <f t="shared" si="130"/>
        <v>3506400</v>
      </c>
      <c r="N136" s="869">
        <v>120</v>
      </c>
      <c r="O136" s="869">
        <f t="shared" ref="O136" si="139">N136*L136</f>
        <v>1753200</v>
      </c>
      <c r="P136" s="869"/>
      <c r="Q136" s="869"/>
      <c r="R136" s="870">
        <f t="shared" si="123"/>
        <v>6481200</v>
      </c>
      <c r="S136" s="871">
        <f t="shared" si="124"/>
        <v>1558100</v>
      </c>
      <c r="T136" s="871">
        <f t="shared" si="125"/>
        <v>841370</v>
      </c>
      <c r="U136" s="871">
        <f t="shared" si="126"/>
        <v>662820</v>
      </c>
      <c r="V136" s="871">
        <f t="shared" si="119"/>
        <v>84910</v>
      </c>
      <c r="W136" s="871">
        <f t="shared" si="127"/>
        <v>196320</v>
      </c>
      <c r="X136" s="871">
        <f t="shared" si="128"/>
        <v>149580</v>
      </c>
      <c r="Y136" s="869">
        <f t="shared" si="131"/>
        <v>1935000</v>
      </c>
      <c r="Z136" s="872">
        <f t="shared" si="132"/>
        <v>3493100</v>
      </c>
      <c r="AA136" s="1154"/>
      <c r="AB136" s="876"/>
      <c r="AC136" s="876"/>
      <c r="AD136" s="876"/>
      <c r="AE136" s="1152"/>
    </row>
    <row r="137" spans="1:31" s="1" customFormat="1" ht="24.95" customHeight="1" x14ac:dyDescent="0.15">
      <c r="A137" s="1430">
        <v>8</v>
      </c>
      <c r="B137" s="1432" t="s">
        <v>193</v>
      </c>
      <c r="C137" s="1430" t="s">
        <v>321</v>
      </c>
      <c r="D137" s="1432">
        <v>11</v>
      </c>
      <c r="E137" s="1432">
        <f>F137+F138</f>
        <v>12</v>
      </c>
      <c r="F137" s="854">
        <v>10</v>
      </c>
      <c r="G137" s="855" t="s">
        <v>183</v>
      </c>
      <c r="H137" s="878">
        <v>2099000</v>
      </c>
      <c r="I137" s="865">
        <f t="shared" si="113"/>
        <v>20990000</v>
      </c>
      <c r="J137" s="866">
        <f>(H137*60%)*2</f>
        <v>2518800</v>
      </c>
      <c r="K137" s="867">
        <f>40000*12</f>
        <v>480000</v>
      </c>
      <c r="L137" s="868">
        <f t="shared" si="129"/>
        <v>15060</v>
      </c>
      <c r="M137" s="869">
        <f t="shared" si="130"/>
        <v>6024000</v>
      </c>
      <c r="N137" s="869"/>
      <c r="O137" s="869"/>
      <c r="P137" s="869"/>
      <c r="Q137" s="869"/>
      <c r="R137" s="870">
        <f t="shared" si="123"/>
        <v>9022800</v>
      </c>
      <c r="S137" s="871">
        <f t="shared" si="124"/>
        <v>2501070</v>
      </c>
      <c r="T137" s="871">
        <f t="shared" si="125"/>
        <v>1350580</v>
      </c>
      <c r="U137" s="871">
        <f t="shared" si="126"/>
        <v>1063960</v>
      </c>
      <c r="V137" s="871">
        <f t="shared" si="119"/>
        <v>136300</v>
      </c>
      <c r="W137" s="871">
        <f t="shared" si="127"/>
        <v>315130</v>
      </c>
      <c r="X137" s="871">
        <f t="shared" si="128"/>
        <v>240100</v>
      </c>
      <c r="Y137" s="869">
        <f t="shared" si="131"/>
        <v>3106070</v>
      </c>
      <c r="Z137" s="872">
        <f t="shared" si="132"/>
        <v>5607140</v>
      </c>
      <c r="AA137" s="1153">
        <f>SUM(Z137,Z138,R137,R138,I137,I138)</f>
        <v>44442800</v>
      </c>
      <c r="AB137" s="873">
        <f>200000*5</f>
        <v>1000000</v>
      </c>
      <c r="AC137" s="873">
        <f t="shared" si="122"/>
        <v>600000</v>
      </c>
      <c r="AD137" s="873">
        <f>AC137+AB137</f>
        <v>1600000</v>
      </c>
      <c r="AE137" s="1151"/>
    </row>
    <row r="138" spans="1:31" s="1" customFormat="1" ht="24.95" customHeight="1" x14ac:dyDescent="0.15">
      <c r="A138" s="1431"/>
      <c r="B138" s="1433"/>
      <c r="C138" s="1431"/>
      <c r="D138" s="1433"/>
      <c r="E138" s="1433"/>
      <c r="F138" s="859">
        <v>2</v>
      </c>
      <c r="G138" s="855">
        <f>G137+1</f>
        <v>6</v>
      </c>
      <c r="H138" s="878">
        <v>2164000</v>
      </c>
      <c r="I138" s="865">
        <f t="shared" si="113"/>
        <v>4328000</v>
      </c>
      <c r="J138" s="866"/>
      <c r="K138" s="867"/>
      <c r="L138" s="875">
        <f t="shared" si="129"/>
        <v>15530</v>
      </c>
      <c r="M138" s="869">
        <f t="shared" si="130"/>
        <v>1242400</v>
      </c>
      <c r="N138" s="869">
        <v>120</v>
      </c>
      <c r="O138" s="869">
        <f t="shared" ref="O138:O139" si="140">N138*L138</f>
        <v>1863600</v>
      </c>
      <c r="P138" s="869"/>
      <c r="Q138" s="869"/>
      <c r="R138" s="870">
        <f t="shared" si="123"/>
        <v>3106000</v>
      </c>
      <c r="S138" s="871">
        <f t="shared" si="124"/>
        <v>619500</v>
      </c>
      <c r="T138" s="871">
        <f t="shared" si="125"/>
        <v>334530</v>
      </c>
      <c r="U138" s="871">
        <f t="shared" si="126"/>
        <v>263540</v>
      </c>
      <c r="V138" s="871">
        <f t="shared" si="119"/>
        <v>33760</v>
      </c>
      <c r="W138" s="871">
        <f t="shared" si="127"/>
        <v>78060</v>
      </c>
      <c r="X138" s="871">
        <f t="shared" si="128"/>
        <v>59470</v>
      </c>
      <c r="Y138" s="869">
        <f t="shared" si="131"/>
        <v>769360</v>
      </c>
      <c r="Z138" s="872">
        <f t="shared" si="132"/>
        <v>1388860</v>
      </c>
      <c r="AA138" s="1154"/>
      <c r="AB138" s="876">
        <f>250000*6</f>
        <v>1500000</v>
      </c>
      <c r="AC138" s="876"/>
      <c r="AD138" s="876"/>
      <c r="AE138" s="1152"/>
    </row>
    <row r="139" spans="1:31" s="1" customFormat="1" ht="24.95" customHeight="1" x14ac:dyDescent="0.15">
      <c r="A139" s="1430">
        <v>9</v>
      </c>
      <c r="B139" s="1432" t="s">
        <v>193</v>
      </c>
      <c r="C139" s="1430" t="s">
        <v>322</v>
      </c>
      <c r="D139" s="1432">
        <v>1</v>
      </c>
      <c r="E139" s="1432">
        <f>F139+F140</f>
        <v>12</v>
      </c>
      <c r="F139" s="854">
        <v>12</v>
      </c>
      <c r="G139" s="855" t="s">
        <v>183</v>
      </c>
      <c r="H139" s="878">
        <v>2099000</v>
      </c>
      <c r="I139" s="865">
        <f t="shared" si="113"/>
        <v>25188000</v>
      </c>
      <c r="J139" s="866">
        <f>(H139*60%)*2</f>
        <v>2518800</v>
      </c>
      <c r="K139" s="867"/>
      <c r="L139" s="868">
        <f t="shared" si="129"/>
        <v>15060</v>
      </c>
      <c r="M139" s="869">
        <f t="shared" si="130"/>
        <v>7228800</v>
      </c>
      <c r="N139" s="869">
        <v>120</v>
      </c>
      <c r="O139" s="869">
        <f t="shared" si="140"/>
        <v>1807200</v>
      </c>
      <c r="P139" s="869"/>
      <c r="Q139" s="869"/>
      <c r="R139" s="870">
        <f t="shared" si="123"/>
        <v>11554800</v>
      </c>
      <c r="S139" s="871">
        <f t="shared" si="124"/>
        <v>3061900</v>
      </c>
      <c r="T139" s="871">
        <f t="shared" si="125"/>
        <v>1653430</v>
      </c>
      <c r="U139" s="871">
        <f t="shared" si="126"/>
        <v>1302540</v>
      </c>
      <c r="V139" s="871">
        <f t="shared" si="119"/>
        <v>166860</v>
      </c>
      <c r="W139" s="871">
        <f t="shared" si="127"/>
        <v>385800</v>
      </c>
      <c r="X139" s="871">
        <f t="shared" si="128"/>
        <v>293940</v>
      </c>
      <c r="Y139" s="869">
        <f t="shared" si="131"/>
        <v>3802570</v>
      </c>
      <c r="Z139" s="872">
        <f t="shared" si="132"/>
        <v>6864470</v>
      </c>
      <c r="AA139" s="1153">
        <f>SUM(Z139,Z140,R139,R140,I139,I140)</f>
        <v>43607270</v>
      </c>
      <c r="AB139" s="873">
        <f t="shared" si="135"/>
        <v>2400000</v>
      </c>
      <c r="AC139" s="873">
        <f t="shared" si="122"/>
        <v>600000</v>
      </c>
      <c r="AD139" s="873">
        <f>AC139+AB139</f>
        <v>3000000</v>
      </c>
      <c r="AE139" s="1151"/>
    </row>
    <row r="140" spans="1:31" s="1" customFormat="1" ht="24.95" customHeight="1" x14ac:dyDescent="0.15">
      <c r="A140" s="1431"/>
      <c r="B140" s="1433"/>
      <c r="C140" s="1431"/>
      <c r="D140" s="1433"/>
      <c r="E140" s="1433"/>
      <c r="F140" s="859"/>
      <c r="G140" s="855"/>
      <c r="H140" s="878"/>
      <c r="I140" s="865">
        <f t="shared" si="113"/>
        <v>0</v>
      </c>
      <c r="J140" s="866">
        <f>H140*60%</f>
        <v>0</v>
      </c>
      <c r="K140" s="867"/>
      <c r="L140" s="875">
        <f t="shared" si="129"/>
        <v>0</v>
      </c>
      <c r="M140" s="869">
        <f t="shared" si="130"/>
        <v>0</v>
      </c>
      <c r="N140" s="869"/>
      <c r="O140" s="869"/>
      <c r="P140" s="869"/>
      <c r="Q140" s="869"/>
      <c r="R140" s="870">
        <f t="shared" si="123"/>
        <v>0</v>
      </c>
      <c r="S140" s="871">
        <f t="shared" si="124"/>
        <v>0</v>
      </c>
      <c r="T140" s="871">
        <f t="shared" si="125"/>
        <v>0</v>
      </c>
      <c r="U140" s="871">
        <f t="shared" si="126"/>
        <v>0</v>
      </c>
      <c r="V140" s="871">
        <f t="shared" si="119"/>
        <v>0</v>
      </c>
      <c r="W140" s="871">
        <f t="shared" si="127"/>
        <v>0</v>
      </c>
      <c r="X140" s="871">
        <f t="shared" si="128"/>
        <v>0</v>
      </c>
      <c r="Y140" s="869">
        <f t="shared" si="131"/>
        <v>0</v>
      </c>
      <c r="Z140" s="872">
        <f t="shared" si="132"/>
        <v>0</v>
      </c>
      <c r="AA140" s="1154"/>
      <c r="AB140" s="876"/>
      <c r="AC140" s="876"/>
      <c r="AD140" s="876"/>
      <c r="AE140" s="1152"/>
    </row>
    <row r="141" spans="1:31" s="1" customFormat="1" ht="24.95" customHeight="1" x14ac:dyDescent="0.15">
      <c r="A141" s="1430">
        <v>10</v>
      </c>
      <c r="B141" s="1432" t="s">
        <v>193</v>
      </c>
      <c r="C141" s="1432" t="s">
        <v>901</v>
      </c>
      <c r="D141" s="1432">
        <v>1</v>
      </c>
      <c r="E141" s="1432">
        <f>F141+F142</f>
        <v>12</v>
      </c>
      <c r="F141" s="854">
        <v>12</v>
      </c>
      <c r="G141" s="855" t="s">
        <v>1178</v>
      </c>
      <c r="H141" s="864">
        <v>2099000</v>
      </c>
      <c r="I141" s="865">
        <f t="shared" si="113"/>
        <v>25188000</v>
      </c>
      <c r="J141" s="866">
        <f>(H141*60%)*2</f>
        <v>2518800</v>
      </c>
      <c r="K141" s="867"/>
      <c r="L141" s="868">
        <f t="shared" si="129"/>
        <v>15060</v>
      </c>
      <c r="M141" s="869">
        <f t="shared" si="130"/>
        <v>7228800</v>
      </c>
      <c r="N141" s="869">
        <v>120</v>
      </c>
      <c r="O141" s="869">
        <f t="shared" ref="O141:O143" si="141">N141*L141</f>
        <v>1807200</v>
      </c>
      <c r="P141" s="869"/>
      <c r="Q141" s="869"/>
      <c r="R141" s="870">
        <f t="shared" si="123"/>
        <v>11554800</v>
      </c>
      <c r="S141" s="871">
        <f t="shared" si="124"/>
        <v>3061900</v>
      </c>
      <c r="T141" s="871">
        <f t="shared" si="125"/>
        <v>1653430</v>
      </c>
      <c r="U141" s="871">
        <f t="shared" si="126"/>
        <v>1302540</v>
      </c>
      <c r="V141" s="871">
        <f t="shared" si="119"/>
        <v>166860</v>
      </c>
      <c r="W141" s="871">
        <f t="shared" si="127"/>
        <v>385800</v>
      </c>
      <c r="X141" s="871">
        <f t="shared" si="128"/>
        <v>293940</v>
      </c>
      <c r="Y141" s="869">
        <f t="shared" si="131"/>
        <v>3802570</v>
      </c>
      <c r="Z141" s="872">
        <f t="shared" si="132"/>
        <v>6864470</v>
      </c>
      <c r="AA141" s="1153">
        <f>SUM(Z141,Z142,R141,R142,I141,I142)</f>
        <v>43607270</v>
      </c>
      <c r="AB141" s="873">
        <f t="shared" si="135"/>
        <v>2400000</v>
      </c>
      <c r="AC141" s="873">
        <f t="shared" si="122"/>
        <v>600000</v>
      </c>
      <c r="AD141" s="873">
        <f>AC141+AB141</f>
        <v>3000000</v>
      </c>
      <c r="AE141" s="1151"/>
    </row>
    <row r="142" spans="1:31" s="1" customFormat="1" ht="24.95" customHeight="1" x14ac:dyDescent="0.15">
      <c r="A142" s="1431"/>
      <c r="B142" s="1433"/>
      <c r="C142" s="1433"/>
      <c r="D142" s="1433"/>
      <c r="E142" s="1433"/>
      <c r="F142" s="859"/>
      <c r="G142" s="855"/>
      <c r="H142" s="864"/>
      <c r="I142" s="865">
        <f t="shared" si="113"/>
        <v>0</v>
      </c>
      <c r="J142" s="866"/>
      <c r="K142" s="867"/>
      <c r="L142" s="875">
        <f t="shared" si="129"/>
        <v>0</v>
      </c>
      <c r="M142" s="869">
        <f t="shared" si="130"/>
        <v>0</v>
      </c>
      <c r="N142" s="869"/>
      <c r="O142" s="869">
        <f t="shared" si="141"/>
        <v>0</v>
      </c>
      <c r="P142" s="869"/>
      <c r="Q142" s="869"/>
      <c r="R142" s="870">
        <f t="shared" si="123"/>
        <v>0</v>
      </c>
      <c r="S142" s="871">
        <f t="shared" si="124"/>
        <v>0</v>
      </c>
      <c r="T142" s="871">
        <f t="shared" si="125"/>
        <v>0</v>
      </c>
      <c r="U142" s="871">
        <f t="shared" si="126"/>
        <v>0</v>
      </c>
      <c r="V142" s="871">
        <f t="shared" si="119"/>
        <v>0</v>
      </c>
      <c r="W142" s="871">
        <f t="shared" si="127"/>
        <v>0</v>
      </c>
      <c r="X142" s="871">
        <f t="shared" si="128"/>
        <v>0</v>
      </c>
      <c r="Y142" s="869">
        <f t="shared" si="131"/>
        <v>0</v>
      </c>
      <c r="Z142" s="872">
        <f t="shared" si="132"/>
        <v>0</v>
      </c>
      <c r="AA142" s="1154"/>
      <c r="AB142" s="876"/>
      <c r="AC142" s="876"/>
      <c r="AD142" s="876"/>
      <c r="AE142" s="1152"/>
    </row>
    <row r="143" spans="1:31" s="1" customFormat="1" ht="24.95" customHeight="1" x14ac:dyDescent="0.15">
      <c r="A143" s="1430">
        <v>11</v>
      </c>
      <c r="B143" s="1432" t="s">
        <v>193</v>
      </c>
      <c r="C143" s="1430" t="s">
        <v>902</v>
      </c>
      <c r="D143" s="1432">
        <v>5</v>
      </c>
      <c r="E143" s="1432">
        <f>F143+F144</f>
        <v>12</v>
      </c>
      <c r="F143" s="854">
        <v>5</v>
      </c>
      <c r="G143" s="883" t="s">
        <v>1179</v>
      </c>
      <c r="H143" s="878">
        <v>2036000</v>
      </c>
      <c r="I143" s="865">
        <f t="shared" si="113"/>
        <v>10180000</v>
      </c>
      <c r="J143" s="866">
        <f>H143*60%</f>
        <v>1221600</v>
      </c>
      <c r="K143" s="867"/>
      <c r="L143" s="868">
        <f t="shared" si="129"/>
        <v>14610</v>
      </c>
      <c r="M143" s="869">
        <f t="shared" si="130"/>
        <v>2922000</v>
      </c>
      <c r="N143" s="869">
        <v>120</v>
      </c>
      <c r="O143" s="869">
        <f t="shared" si="141"/>
        <v>1753200</v>
      </c>
      <c r="P143" s="869"/>
      <c r="Q143" s="869"/>
      <c r="R143" s="870">
        <f t="shared" si="123"/>
        <v>5896800</v>
      </c>
      <c r="S143" s="871">
        <f t="shared" si="124"/>
        <v>1339740</v>
      </c>
      <c r="T143" s="871">
        <f t="shared" si="125"/>
        <v>723460</v>
      </c>
      <c r="U143" s="871">
        <f t="shared" si="126"/>
        <v>569930</v>
      </c>
      <c r="V143" s="871">
        <f t="shared" si="119"/>
        <v>73010</v>
      </c>
      <c r="W143" s="871">
        <f t="shared" si="127"/>
        <v>168810</v>
      </c>
      <c r="X143" s="871">
        <f t="shared" si="128"/>
        <v>128610</v>
      </c>
      <c r="Y143" s="869">
        <f t="shared" si="131"/>
        <v>1663820</v>
      </c>
      <c r="Z143" s="872">
        <f t="shared" si="132"/>
        <v>3003560</v>
      </c>
      <c r="AA143" s="1153">
        <f>SUM(Z143,Z144,R143,R144,I143,I144)</f>
        <v>43017670</v>
      </c>
      <c r="AB143" s="873">
        <f>200000*12</f>
        <v>2400000</v>
      </c>
      <c r="AC143" s="873">
        <f>50000*12</f>
        <v>600000</v>
      </c>
      <c r="AD143" s="873">
        <f>AC143+AB143</f>
        <v>3000000</v>
      </c>
      <c r="AE143" s="1151"/>
    </row>
    <row r="144" spans="1:31" s="1" customFormat="1" ht="24.95" customHeight="1" x14ac:dyDescent="0.15">
      <c r="A144" s="1431"/>
      <c r="B144" s="1433"/>
      <c r="C144" s="1460"/>
      <c r="D144" s="1459"/>
      <c r="E144" s="1433"/>
      <c r="F144" s="884">
        <v>7</v>
      </c>
      <c r="G144" s="855">
        <f>G143+1</f>
        <v>5</v>
      </c>
      <c r="H144" s="889">
        <v>2099000</v>
      </c>
      <c r="I144" s="865">
        <f t="shared" si="113"/>
        <v>14693000</v>
      </c>
      <c r="J144" s="866">
        <f>H144*60%</f>
        <v>1259400</v>
      </c>
      <c r="K144" s="867"/>
      <c r="L144" s="875">
        <f t="shared" si="129"/>
        <v>15060</v>
      </c>
      <c r="M144" s="869">
        <f t="shared" si="130"/>
        <v>4216800</v>
      </c>
      <c r="N144" s="869"/>
      <c r="O144" s="869"/>
      <c r="P144" s="869"/>
      <c r="Q144" s="869"/>
      <c r="R144" s="870">
        <f t="shared" si="123"/>
        <v>5476200</v>
      </c>
      <c r="S144" s="871">
        <f t="shared" si="124"/>
        <v>1680770</v>
      </c>
      <c r="T144" s="871">
        <f t="shared" si="125"/>
        <v>907610</v>
      </c>
      <c r="U144" s="871">
        <f t="shared" si="126"/>
        <v>715000</v>
      </c>
      <c r="V144" s="871">
        <f t="shared" si="119"/>
        <v>91600</v>
      </c>
      <c r="W144" s="871">
        <f t="shared" si="127"/>
        <v>211780</v>
      </c>
      <c r="X144" s="871">
        <f t="shared" si="128"/>
        <v>161350</v>
      </c>
      <c r="Y144" s="869">
        <f t="shared" si="131"/>
        <v>2087340</v>
      </c>
      <c r="Z144" s="872">
        <f t="shared" si="132"/>
        <v>3768110</v>
      </c>
      <c r="AA144" s="1154"/>
      <c r="AB144" s="876"/>
      <c r="AC144" s="876"/>
      <c r="AD144" s="876"/>
      <c r="AE144" s="1152"/>
    </row>
    <row r="145" spans="1:31" s="1" customFormat="1" ht="24.95" customHeight="1" x14ac:dyDescent="0.15">
      <c r="A145" s="1430">
        <v>12</v>
      </c>
      <c r="B145" s="1432" t="s">
        <v>193</v>
      </c>
      <c r="C145" s="1430" t="s">
        <v>1199</v>
      </c>
      <c r="D145" s="1432">
        <v>3</v>
      </c>
      <c r="E145" s="1432">
        <f>F145+F146</f>
        <v>12</v>
      </c>
      <c r="F145" s="854">
        <v>2</v>
      </c>
      <c r="G145" s="883" t="s">
        <v>1179</v>
      </c>
      <c r="H145" s="878">
        <v>1978000</v>
      </c>
      <c r="I145" s="865">
        <f t="shared" si="113"/>
        <v>3956000</v>
      </c>
      <c r="J145" s="866">
        <f>(H145*60%)*1</f>
        <v>1186800</v>
      </c>
      <c r="K145" s="867">
        <f>40000*12</f>
        <v>480000</v>
      </c>
      <c r="L145" s="868">
        <f t="shared" si="129"/>
        <v>14200</v>
      </c>
      <c r="M145" s="869">
        <f t="shared" si="130"/>
        <v>1136000</v>
      </c>
      <c r="N145" s="869"/>
      <c r="O145" s="869"/>
      <c r="P145" s="869"/>
      <c r="Q145" s="869"/>
      <c r="R145" s="870">
        <f t="shared" si="123"/>
        <v>2802800</v>
      </c>
      <c r="S145" s="871">
        <f t="shared" si="124"/>
        <v>563240</v>
      </c>
      <c r="T145" s="871">
        <f t="shared" si="125"/>
        <v>304150</v>
      </c>
      <c r="U145" s="871">
        <f t="shared" si="126"/>
        <v>239600</v>
      </c>
      <c r="V145" s="871">
        <f t="shared" si="119"/>
        <v>30700</v>
      </c>
      <c r="W145" s="871">
        <f t="shared" si="127"/>
        <v>70970</v>
      </c>
      <c r="X145" s="871">
        <f t="shared" si="128"/>
        <v>54070</v>
      </c>
      <c r="Y145" s="869">
        <f t="shared" si="131"/>
        <v>699490</v>
      </c>
      <c r="Z145" s="872">
        <f t="shared" si="132"/>
        <v>1262730</v>
      </c>
      <c r="AA145" s="1434">
        <f>SUM(Z145,Z146,R145,R146,I145,I146)</f>
        <v>42651660</v>
      </c>
      <c r="AB145" s="873">
        <f>200000*12</f>
        <v>2400000</v>
      </c>
      <c r="AC145" s="873">
        <f>50000*12</f>
        <v>600000</v>
      </c>
      <c r="AD145" s="873">
        <f>AC145+AB145</f>
        <v>3000000</v>
      </c>
      <c r="AE145" s="1430"/>
    </row>
    <row r="146" spans="1:31" s="1" customFormat="1" ht="24.95" customHeight="1" x14ac:dyDescent="0.15">
      <c r="A146" s="1431"/>
      <c r="B146" s="1459"/>
      <c r="C146" s="1460"/>
      <c r="D146" s="1459"/>
      <c r="E146" s="1433"/>
      <c r="F146" s="884">
        <v>10</v>
      </c>
      <c r="G146" s="855">
        <f>G145+1</f>
        <v>5</v>
      </c>
      <c r="H146" s="889">
        <v>2036000</v>
      </c>
      <c r="I146" s="890">
        <f t="shared" si="113"/>
        <v>20360000</v>
      </c>
      <c r="J146" s="891">
        <f>H146*60%</f>
        <v>1221600</v>
      </c>
      <c r="K146" s="892"/>
      <c r="L146" s="893">
        <f t="shared" si="129"/>
        <v>14610</v>
      </c>
      <c r="M146" s="873">
        <f t="shared" si="130"/>
        <v>5844000</v>
      </c>
      <c r="N146" s="869">
        <v>120</v>
      </c>
      <c r="O146" s="869">
        <f t="shared" ref="O146" si="142">N146*L146</f>
        <v>1753200</v>
      </c>
      <c r="P146" s="869"/>
      <c r="Q146" s="869"/>
      <c r="R146" s="870">
        <f>SUM(J146,K146,M146,O146,P146)</f>
        <v>8818800</v>
      </c>
      <c r="S146" s="871">
        <f t="shared" si="124"/>
        <v>2431570</v>
      </c>
      <c r="T146" s="871">
        <f>ROUND((I146+J146+K146+M146+O146+P146)*4.5%,-1)</f>
        <v>1313050</v>
      </c>
      <c r="U146" s="871">
        <f t="shared" si="126"/>
        <v>1034390</v>
      </c>
      <c r="V146" s="871">
        <f t="shared" si="119"/>
        <v>132510</v>
      </c>
      <c r="W146" s="871">
        <f t="shared" si="127"/>
        <v>306380</v>
      </c>
      <c r="X146" s="871">
        <f t="shared" si="128"/>
        <v>233430</v>
      </c>
      <c r="Y146" s="873">
        <f t="shared" si="131"/>
        <v>3019760</v>
      </c>
      <c r="Z146" s="874">
        <f t="shared" si="132"/>
        <v>5451330</v>
      </c>
      <c r="AA146" s="1462"/>
      <c r="AB146" s="876"/>
      <c r="AC146" s="876"/>
      <c r="AD146" s="881"/>
      <c r="AE146" s="1460"/>
    </row>
    <row r="147" spans="1:31" s="1" customFormat="1" ht="24" hidden="1" customHeight="1" x14ac:dyDescent="0.15">
      <c r="A147" s="1430"/>
      <c r="B147" s="1432"/>
      <c r="C147" s="1430"/>
      <c r="D147" s="1432"/>
      <c r="E147" s="1432"/>
      <c r="F147" s="854"/>
      <c r="G147" s="883"/>
      <c r="H147" s="878"/>
      <c r="I147" s="865">
        <f t="shared" ref="I147:I148" si="143">H147*F147</f>
        <v>0</v>
      </c>
      <c r="J147" s="866">
        <f>(H147*60%)*1</f>
        <v>0</v>
      </c>
      <c r="K147" s="867"/>
      <c r="L147" s="868">
        <f t="shared" ref="L147:L148" si="144">ROUND(H147*1/209*1.5,-1)</f>
        <v>0</v>
      </c>
      <c r="M147" s="869">
        <f t="shared" ref="M147:M148" si="145">(L147*40)*F147</f>
        <v>0</v>
      </c>
      <c r="N147" s="869"/>
      <c r="O147" s="869"/>
      <c r="P147" s="869"/>
      <c r="Q147" s="869"/>
      <c r="R147" s="870">
        <f t="shared" si="123"/>
        <v>0</v>
      </c>
      <c r="S147" s="871">
        <f t="shared" si="124"/>
        <v>0</v>
      </c>
      <c r="T147" s="871">
        <f t="shared" si="125"/>
        <v>0</v>
      </c>
      <c r="U147" s="871">
        <f t="shared" ref="U147:U148" si="146">ROUNDUP((I147+J147+K147+M147+O147+P147)*3.495%,-1)</f>
        <v>0</v>
      </c>
      <c r="V147" s="871">
        <f t="shared" ref="V147:V148" si="147">ROUNDUP(U147*12.27%,-1)</f>
        <v>0</v>
      </c>
      <c r="W147" s="871">
        <f t="shared" si="127"/>
        <v>0</v>
      </c>
      <c r="X147" s="871">
        <f t="shared" si="128"/>
        <v>0</v>
      </c>
      <c r="Y147" s="869">
        <f t="shared" ref="Y147:Y148" si="148">SUM(T147:X147)</f>
        <v>0</v>
      </c>
      <c r="Z147" s="872">
        <f t="shared" ref="Z147:Z148" si="149">SUM(S147,Y147)</f>
        <v>0</v>
      </c>
      <c r="AA147" s="1434">
        <f>SUM(Z147,Z148,R147,R148,I147,I148)</f>
        <v>0</v>
      </c>
      <c r="AB147" s="873"/>
      <c r="AC147" s="873"/>
      <c r="AD147" s="873"/>
      <c r="AE147" s="1430"/>
    </row>
    <row r="148" spans="1:31" s="1" customFormat="1" ht="24" hidden="1" customHeight="1" x14ac:dyDescent="0.15">
      <c r="A148" s="1431"/>
      <c r="B148" s="1459"/>
      <c r="C148" s="1460"/>
      <c r="D148" s="1459"/>
      <c r="E148" s="1433"/>
      <c r="F148" s="884"/>
      <c r="G148" s="885"/>
      <c r="H148" s="889"/>
      <c r="I148" s="890">
        <f t="shared" si="143"/>
        <v>0</v>
      </c>
      <c r="J148" s="891">
        <f>H148*60%</f>
        <v>0</v>
      </c>
      <c r="K148" s="892"/>
      <c r="L148" s="893">
        <f t="shared" si="144"/>
        <v>0</v>
      </c>
      <c r="M148" s="873">
        <f t="shared" si="145"/>
        <v>0</v>
      </c>
      <c r="N148" s="873"/>
      <c r="O148" s="873"/>
      <c r="P148" s="873"/>
      <c r="Q148" s="873"/>
      <c r="R148" s="870">
        <f t="shared" si="123"/>
        <v>0</v>
      </c>
      <c r="S148" s="871">
        <f t="shared" si="124"/>
        <v>0</v>
      </c>
      <c r="T148" s="871">
        <f t="shared" si="125"/>
        <v>0</v>
      </c>
      <c r="U148" s="871">
        <f t="shared" si="146"/>
        <v>0</v>
      </c>
      <c r="V148" s="871">
        <f t="shared" si="147"/>
        <v>0</v>
      </c>
      <c r="W148" s="871">
        <f t="shared" si="127"/>
        <v>0</v>
      </c>
      <c r="X148" s="871">
        <f t="shared" si="128"/>
        <v>0</v>
      </c>
      <c r="Y148" s="873">
        <f t="shared" si="148"/>
        <v>0</v>
      </c>
      <c r="Z148" s="874">
        <f t="shared" si="149"/>
        <v>0</v>
      </c>
      <c r="AA148" s="1462"/>
      <c r="AB148" s="876"/>
      <c r="AC148" s="876"/>
      <c r="AD148" s="881"/>
      <c r="AE148" s="1460"/>
    </row>
    <row r="149" spans="1:31" s="96" customFormat="1" ht="35.1" customHeight="1" x14ac:dyDescent="0.15">
      <c r="A149" s="1439" t="s">
        <v>926</v>
      </c>
      <c r="B149" s="1440"/>
      <c r="C149" s="1440"/>
      <c r="D149" s="1440"/>
      <c r="E149" s="1440"/>
      <c r="F149" s="1440"/>
      <c r="G149" s="1440"/>
      <c r="H149" s="1441"/>
      <c r="I149" s="1099">
        <f>SUM(I123:I148)</f>
        <v>298867000</v>
      </c>
      <c r="J149" s="1099">
        <f t="shared" ref="J149:AC149" si="150">SUM(J121:J148)</f>
        <v>29857200</v>
      </c>
      <c r="K149" s="1099">
        <f t="shared" si="150"/>
        <v>1680000</v>
      </c>
      <c r="L149" s="1099"/>
      <c r="M149" s="1099">
        <f t="shared" si="150"/>
        <v>85782800</v>
      </c>
      <c r="N149" s="1099"/>
      <c r="O149" s="1099">
        <f>SUM(O123:O148)</f>
        <v>19834800</v>
      </c>
      <c r="P149" s="1099">
        <f t="shared" si="150"/>
        <v>0</v>
      </c>
      <c r="Q149" s="1099">
        <f t="shared" si="150"/>
        <v>0</v>
      </c>
      <c r="R149" s="1099">
        <f>SUM(R121:R148)</f>
        <v>137154800</v>
      </c>
      <c r="S149" s="1099">
        <f t="shared" si="150"/>
        <v>36335180</v>
      </c>
      <c r="T149" s="1099">
        <f t="shared" si="150"/>
        <v>19620990</v>
      </c>
      <c r="U149" s="1099">
        <f t="shared" si="150"/>
        <v>15457060</v>
      </c>
      <c r="V149" s="1099">
        <f t="shared" si="150"/>
        <v>1980150</v>
      </c>
      <c r="W149" s="1099">
        <f t="shared" si="150"/>
        <v>4578230</v>
      </c>
      <c r="X149" s="1099">
        <f t="shared" si="150"/>
        <v>3488160</v>
      </c>
      <c r="Y149" s="1099">
        <f t="shared" si="150"/>
        <v>45124590</v>
      </c>
      <c r="Z149" s="1099">
        <f t="shared" si="150"/>
        <v>81459770</v>
      </c>
      <c r="AA149" s="1099">
        <f>SUM(AA123:AA148)</f>
        <v>517481570</v>
      </c>
      <c r="AB149" s="1099">
        <f t="shared" si="150"/>
        <v>29250000</v>
      </c>
      <c r="AC149" s="1099">
        <f t="shared" si="150"/>
        <v>7200000</v>
      </c>
      <c r="AD149" s="1099">
        <f>SUM(AD121:AD148)</f>
        <v>31200000</v>
      </c>
      <c r="AE149" s="1099">
        <f>SUM(AE121:AE144)</f>
        <v>0</v>
      </c>
    </row>
    <row r="150" spans="1:31" s="1" customFormat="1" ht="27" customHeight="1" x14ac:dyDescent="0.15">
      <c r="A150" s="1458" t="str">
        <f>A117</f>
        <v>※ 보건복지가족부 2022년 종사자 보수지급기준표 적용.</v>
      </c>
      <c r="B150" s="1458"/>
      <c r="C150" s="1458"/>
      <c r="D150" s="1458"/>
      <c r="E150" s="1458"/>
      <c r="F150" s="1458"/>
      <c r="G150" s="1458"/>
      <c r="H150" s="1458"/>
      <c r="I150" s="1458"/>
      <c r="J150" s="1458"/>
      <c r="K150" s="1458"/>
      <c r="L150" s="1458"/>
      <c r="M150" s="1458"/>
      <c r="N150" s="1458"/>
      <c r="O150" s="1458"/>
      <c r="P150" s="1458"/>
      <c r="Q150" s="1458"/>
      <c r="R150" s="1458"/>
      <c r="S150" s="1458"/>
      <c r="T150" s="1458"/>
      <c r="U150" s="1458"/>
      <c r="V150" s="1458"/>
      <c r="W150" s="1458"/>
      <c r="X150" s="1458"/>
      <c r="Y150" s="1458"/>
      <c r="Z150" s="1458"/>
      <c r="AA150" s="1458"/>
      <c r="AB150" s="862"/>
      <c r="AC150" s="862"/>
      <c r="AD150" s="862"/>
      <c r="AE150" s="863"/>
    </row>
    <row r="151" spans="1:31" s="1" customFormat="1" ht="30" customHeight="1" x14ac:dyDescent="0.15">
      <c r="A151" s="1452" t="s">
        <v>1087</v>
      </c>
      <c r="B151" s="1452"/>
      <c r="C151" s="1452"/>
      <c r="D151" s="1452"/>
      <c r="E151" s="1452"/>
      <c r="F151" s="1452"/>
      <c r="G151" s="1452"/>
      <c r="H151" s="1452"/>
      <c r="I151" s="1452"/>
      <c r="J151" s="1452"/>
      <c r="K151" s="1452"/>
      <c r="L151" s="1452"/>
      <c r="M151" s="1452"/>
      <c r="N151" s="1452"/>
      <c r="O151" s="1452"/>
      <c r="P151" s="1452"/>
      <c r="Q151" s="1452"/>
      <c r="R151" s="1452"/>
      <c r="S151" s="1452"/>
      <c r="T151" s="1452"/>
      <c r="U151" s="1452"/>
      <c r="V151" s="1452"/>
      <c r="W151" s="1452"/>
      <c r="X151" s="1452"/>
      <c r="Y151" s="1452"/>
      <c r="Z151" s="1452"/>
      <c r="AA151" s="1452"/>
      <c r="AB151" s="1452"/>
      <c r="AC151" s="1452"/>
      <c r="AD151" s="1452"/>
      <c r="AE151" s="1452"/>
    </row>
    <row r="152" spans="1:31" s="1" customFormat="1" ht="16.5" customHeight="1" x14ac:dyDescent="0.15">
      <c r="A152" s="1092" t="s">
        <v>905</v>
      </c>
      <c r="B152" s="1093"/>
      <c r="C152" s="1093"/>
      <c r="D152" s="4"/>
      <c r="E152" s="4"/>
      <c r="F152" s="4"/>
      <c r="G152" s="4"/>
      <c r="H152" s="1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1:31" s="1" customFormat="1" ht="20.25" customHeight="1" x14ac:dyDescent="0.15">
      <c r="A153" s="1446" t="s">
        <v>47</v>
      </c>
      <c r="B153" s="1446" t="s">
        <v>48</v>
      </c>
      <c r="C153" s="1446" t="s">
        <v>72</v>
      </c>
      <c r="D153" s="1446" t="s">
        <v>169</v>
      </c>
      <c r="E153" s="1089"/>
      <c r="F153" s="1089"/>
      <c r="G153" s="1446" t="s">
        <v>49</v>
      </c>
      <c r="H153" s="1444" t="s">
        <v>165</v>
      </c>
      <c r="I153" s="1444" t="s">
        <v>74</v>
      </c>
      <c r="J153" s="1448" t="s">
        <v>62</v>
      </c>
      <c r="K153" s="1449"/>
      <c r="L153" s="1449"/>
      <c r="M153" s="1449"/>
      <c r="N153" s="1449"/>
      <c r="O153" s="1449"/>
      <c r="P153" s="1449"/>
      <c r="Q153" s="1449"/>
      <c r="R153" s="1450"/>
      <c r="S153" s="1442" t="s">
        <v>53</v>
      </c>
      <c r="T153" s="1442" t="s">
        <v>160</v>
      </c>
      <c r="U153" s="1442" t="s">
        <v>161</v>
      </c>
      <c r="V153" s="1442" t="s">
        <v>164</v>
      </c>
      <c r="W153" s="1442" t="s">
        <v>162</v>
      </c>
      <c r="X153" s="1442" t="s">
        <v>163</v>
      </c>
      <c r="Y153" s="1442" t="s">
        <v>230</v>
      </c>
      <c r="Z153" s="1442" t="s">
        <v>170</v>
      </c>
      <c r="AA153" s="1444" t="s">
        <v>71</v>
      </c>
      <c r="AB153" s="1448" t="s">
        <v>68</v>
      </c>
      <c r="AC153" s="1449"/>
      <c r="AD153" s="1450"/>
      <c r="AE153" s="1444" t="s">
        <v>50</v>
      </c>
    </row>
    <row r="154" spans="1:31" s="1" customFormat="1" ht="30" customHeight="1" x14ac:dyDescent="0.15">
      <c r="A154" s="1447"/>
      <c r="B154" s="1447"/>
      <c r="C154" s="1447"/>
      <c r="D154" s="1447"/>
      <c r="E154" s="1090"/>
      <c r="F154" s="1090"/>
      <c r="G154" s="1447"/>
      <c r="H154" s="1445"/>
      <c r="I154" s="1445"/>
      <c r="J154" s="850" t="s">
        <v>441</v>
      </c>
      <c r="K154" s="850" t="s">
        <v>157</v>
      </c>
      <c r="L154" s="850" t="s">
        <v>168</v>
      </c>
      <c r="M154" s="850" t="s">
        <v>158</v>
      </c>
      <c r="N154" s="850" t="str">
        <f>N4</f>
        <v>휴일근로시간</v>
      </c>
      <c r="O154" s="850" t="str">
        <f>O4</f>
        <v>휴일근로수당</v>
      </c>
      <c r="P154" s="851" t="s">
        <v>159</v>
      </c>
      <c r="Q154" s="851" t="s">
        <v>231</v>
      </c>
      <c r="R154" s="850" t="s">
        <v>63</v>
      </c>
      <c r="S154" s="1443"/>
      <c r="T154" s="1443"/>
      <c r="U154" s="1443"/>
      <c r="V154" s="1443"/>
      <c r="W154" s="1443"/>
      <c r="X154" s="1443"/>
      <c r="Y154" s="1443"/>
      <c r="Z154" s="1443"/>
      <c r="AA154" s="1445"/>
      <c r="AB154" s="852" t="s">
        <v>228</v>
      </c>
      <c r="AC154" s="852" t="s">
        <v>229</v>
      </c>
      <c r="AD154" s="1091" t="s">
        <v>69</v>
      </c>
      <c r="AE154" s="1445"/>
    </row>
    <row r="155" spans="1:31" s="1" customFormat="1" ht="24" customHeight="1" x14ac:dyDescent="0.15">
      <c r="A155" s="1430">
        <v>1</v>
      </c>
      <c r="B155" s="1432" t="s">
        <v>903</v>
      </c>
      <c r="C155" s="1432" t="s">
        <v>904</v>
      </c>
      <c r="D155" s="1432">
        <v>3</v>
      </c>
      <c r="E155" s="1432">
        <f>F155+F156</f>
        <v>12</v>
      </c>
      <c r="F155" s="854">
        <v>2</v>
      </c>
      <c r="G155" s="855" t="s">
        <v>184</v>
      </c>
      <c r="H155" s="864">
        <v>2481000</v>
      </c>
      <c r="I155" s="865">
        <f>H155*F155</f>
        <v>4962000</v>
      </c>
      <c r="J155" s="866">
        <f>(H155*60%)*1</f>
        <v>1488600</v>
      </c>
      <c r="K155" s="867"/>
      <c r="L155" s="868">
        <f>ROUND(H155*1/209*1.5,-1)</f>
        <v>17810</v>
      </c>
      <c r="M155" s="869">
        <f>(L155*13)*F155</f>
        <v>463060</v>
      </c>
      <c r="N155" s="869"/>
      <c r="O155" s="869"/>
      <c r="P155" s="869"/>
      <c r="Q155" s="869"/>
      <c r="R155" s="870">
        <f t="shared" ref="R155" si="151">SUM(J155,K155,M155,O155,P155)</f>
        <v>1951660</v>
      </c>
      <c r="S155" s="871">
        <f t="shared" ref="S155" si="152">ROUNDUP((I155+J155+K155+M155+O155+P155+Q155)*1/12,-1)</f>
        <v>576140</v>
      </c>
      <c r="T155" s="871">
        <f>ROUND((I155+J155+K155+M155+O155+P155)*4.5%,-1)</f>
        <v>311110</v>
      </c>
      <c r="U155" s="871">
        <f>ROUNDUP((I155+J155+K155+M155+O155+P155)*3.545%,-1)</f>
        <v>245090</v>
      </c>
      <c r="V155" s="871">
        <f t="shared" ref="V155:V160" si="153">ROUNDUP(U155*12.81%,-1)</f>
        <v>31400</v>
      </c>
      <c r="W155" s="871">
        <f t="shared" ref="W155" si="154">ROUND((I155+J155+K155+M155+O155+P155)*1.05%,-1)</f>
        <v>72590</v>
      </c>
      <c r="X155" s="871">
        <f t="shared" ref="X155" si="155">ROUND((I155+J155+K155+M155+O155+P155)*0.8%,-1)</f>
        <v>55310</v>
      </c>
      <c r="Y155" s="869">
        <f>SUM(T155:X155)</f>
        <v>715500</v>
      </c>
      <c r="Z155" s="872">
        <f>SUM(S155,Y155)</f>
        <v>1291640</v>
      </c>
      <c r="AA155" s="1434">
        <f>SUM(Z155,Z156,R155,R156,I155,I156)</f>
        <v>43888970</v>
      </c>
      <c r="AB155" s="873">
        <f>200000*12</f>
        <v>2400000</v>
      </c>
      <c r="AC155" s="873">
        <f>50000*12</f>
        <v>600000</v>
      </c>
      <c r="AD155" s="873">
        <f>AC155+AB155</f>
        <v>3000000</v>
      </c>
      <c r="AE155" s="1437"/>
    </row>
    <row r="156" spans="1:31" s="1" customFormat="1" ht="24" customHeight="1" x14ac:dyDescent="0.15">
      <c r="A156" s="1431"/>
      <c r="B156" s="1433"/>
      <c r="C156" s="1433"/>
      <c r="D156" s="1433"/>
      <c r="E156" s="1433"/>
      <c r="F156" s="859">
        <v>10</v>
      </c>
      <c r="G156" s="855">
        <f>G155+1</f>
        <v>7</v>
      </c>
      <c r="H156" s="864">
        <v>2607000</v>
      </c>
      <c r="I156" s="865">
        <f>H156*F156</f>
        <v>26070000</v>
      </c>
      <c r="J156" s="866">
        <f>(H156*60%)*1</f>
        <v>1564200</v>
      </c>
      <c r="K156" s="867"/>
      <c r="L156" s="875">
        <f>ROUND(H156*1/209*1.5,-1)</f>
        <v>18710</v>
      </c>
      <c r="M156" s="869">
        <f t="shared" ref="M156:M158" si="156">(L156*13)*F156</f>
        <v>2432300</v>
      </c>
      <c r="N156" s="869"/>
      <c r="O156" s="869"/>
      <c r="P156" s="869"/>
      <c r="Q156" s="869"/>
      <c r="R156" s="870">
        <f t="shared" ref="R156:R158" si="157">SUM(J156,K156,M156,O156,P156)</f>
        <v>3996500</v>
      </c>
      <c r="S156" s="871">
        <f t="shared" ref="S156:S158" si="158">ROUNDUP((I156+J156+K156+M156+O156+P156+Q156)*1/12,-1)</f>
        <v>2505550</v>
      </c>
      <c r="T156" s="871">
        <f>ROUND((I156+J156+K156+M156+O156+P156)*4.5%,-1)</f>
        <v>1352990</v>
      </c>
      <c r="U156" s="871">
        <f t="shared" ref="U156:U160" si="159">ROUNDUP((I156+J156+K156+M156+O156+P156)*3.545%,-1)</f>
        <v>1065860</v>
      </c>
      <c r="V156" s="871">
        <f t="shared" si="153"/>
        <v>136540</v>
      </c>
      <c r="W156" s="871">
        <f t="shared" ref="W156:W158" si="160">ROUND((I156+J156+K156+M156+O156+P156)*1.05%,-1)</f>
        <v>315700</v>
      </c>
      <c r="X156" s="871">
        <f t="shared" ref="X156:X158" si="161">ROUND((I156+J156+K156+M156+O156+P156)*0.8%,-1)</f>
        <v>240530</v>
      </c>
      <c r="Y156" s="869">
        <f>SUM(T156:X156)</f>
        <v>3111620</v>
      </c>
      <c r="Z156" s="872">
        <f>SUM(S156,Y156)</f>
        <v>5617170</v>
      </c>
      <c r="AA156" s="1435"/>
      <c r="AB156" s="876"/>
      <c r="AC156" s="876"/>
      <c r="AD156" s="876"/>
      <c r="AE156" s="1438"/>
    </row>
    <row r="157" spans="1:31" s="1" customFormat="1" ht="24" customHeight="1" x14ac:dyDescent="0.15">
      <c r="A157" s="1430">
        <v>2</v>
      </c>
      <c r="B157" s="1430" t="s">
        <v>193</v>
      </c>
      <c r="C157" s="1430" t="s">
        <v>203</v>
      </c>
      <c r="D157" s="1432">
        <v>4</v>
      </c>
      <c r="E157" s="1432">
        <f>F157+F158</f>
        <v>12</v>
      </c>
      <c r="F157" s="854">
        <v>3</v>
      </c>
      <c r="G157" s="855" t="s">
        <v>180</v>
      </c>
      <c r="H157" s="878">
        <v>2616000</v>
      </c>
      <c r="I157" s="865">
        <f>H157*F157</f>
        <v>7848000</v>
      </c>
      <c r="J157" s="866">
        <f>H157*60%</f>
        <v>1569600</v>
      </c>
      <c r="K157" s="867">
        <f>40000*12</f>
        <v>480000</v>
      </c>
      <c r="L157" s="868">
        <f>ROUND(H157*1/209*1.5,-1)</f>
        <v>18780</v>
      </c>
      <c r="M157" s="869">
        <f t="shared" si="156"/>
        <v>732420</v>
      </c>
      <c r="N157" s="869"/>
      <c r="O157" s="869"/>
      <c r="P157" s="869"/>
      <c r="Q157" s="869"/>
      <c r="R157" s="870">
        <f t="shared" si="157"/>
        <v>2782020</v>
      </c>
      <c r="S157" s="871">
        <f t="shared" si="158"/>
        <v>885840</v>
      </c>
      <c r="T157" s="871">
        <f t="shared" ref="T157:T158" si="162">ROUND((I157+J157+K157+M157+O157+P157)*4.5%,-1)</f>
        <v>478350</v>
      </c>
      <c r="U157" s="871">
        <f t="shared" si="159"/>
        <v>376840</v>
      </c>
      <c r="V157" s="871">
        <f t="shared" si="153"/>
        <v>48280</v>
      </c>
      <c r="W157" s="871">
        <f t="shared" si="160"/>
        <v>111620</v>
      </c>
      <c r="X157" s="871">
        <f t="shared" si="161"/>
        <v>85040</v>
      </c>
      <c r="Y157" s="869">
        <f>SUM(T157:X157)</f>
        <v>1100130</v>
      </c>
      <c r="Z157" s="872">
        <f>SUM(S157,Y157)</f>
        <v>1985970</v>
      </c>
      <c r="AA157" s="1434">
        <f>SUM(Z157,Z158,R157,R158,I157,I158)</f>
        <v>45660260</v>
      </c>
      <c r="AB157" s="873">
        <f>250000*12</f>
        <v>3000000</v>
      </c>
      <c r="AC157" s="873">
        <f>50000*12</f>
        <v>600000</v>
      </c>
      <c r="AD157" s="874">
        <f>AC157+AB157</f>
        <v>3600000</v>
      </c>
      <c r="AE157" s="1430"/>
    </row>
    <row r="158" spans="1:31" s="1" customFormat="1" ht="24" customHeight="1" x14ac:dyDescent="0.15">
      <c r="A158" s="1431"/>
      <c r="B158" s="1431"/>
      <c r="C158" s="1431"/>
      <c r="D158" s="1433"/>
      <c r="E158" s="1433"/>
      <c r="F158" s="859">
        <v>9</v>
      </c>
      <c r="G158" s="855">
        <f>G157+1</f>
        <v>13</v>
      </c>
      <c r="H158" s="878">
        <v>2667000</v>
      </c>
      <c r="I158" s="865">
        <f>H158*F158</f>
        <v>24003000</v>
      </c>
      <c r="J158" s="866">
        <f>H158*60%</f>
        <v>1600200</v>
      </c>
      <c r="K158" s="867"/>
      <c r="L158" s="875">
        <f>ROUND(H158*1/209*1.5,-1)</f>
        <v>19140</v>
      </c>
      <c r="M158" s="869">
        <f t="shared" si="156"/>
        <v>2239380</v>
      </c>
      <c r="N158" s="869"/>
      <c r="O158" s="869"/>
      <c r="P158" s="869"/>
      <c r="Q158" s="869"/>
      <c r="R158" s="870">
        <f t="shared" si="157"/>
        <v>3839580</v>
      </c>
      <c r="S158" s="871">
        <f t="shared" si="158"/>
        <v>2320220</v>
      </c>
      <c r="T158" s="871">
        <f t="shared" si="162"/>
        <v>1252920</v>
      </c>
      <c r="U158" s="871">
        <f t="shared" si="159"/>
        <v>987020</v>
      </c>
      <c r="V158" s="871">
        <f t="shared" si="153"/>
        <v>126440</v>
      </c>
      <c r="W158" s="871">
        <f t="shared" si="160"/>
        <v>292350</v>
      </c>
      <c r="X158" s="871">
        <f t="shared" si="161"/>
        <v>222740</v>
      </c>
      <c r="Y158" s="869">
        <f>SUM(T158:X158)</f>
        <v>2881470</v>
      </c>
      <c r="Z158" s="872">
        <f>SUM(S158,Y158)</f>
        <v>5201690</v>
      </c>
      <c r="AA158" s="1435"/>
      <c r="AB158" s="876"/>
      <c r="AC158" s="876"/>
      <c r="AD158" s="877"/>
      <c r="AE158" s="1431"/>
    </row>
    <row r="159" spans="1:31" s="1" customFormat="1" ht="24" hidden="1" customHeight="1" x14ac:dyDescent="0.15">
      <c r="A159" s="1430"/>
      <c r="B159" s="1451"/>
      <c r="C159" s="1432"/>
      <c r="D159" s="1432"/>
      <c r="E159" s="1432"/>
      <c r="F159" s="854"/>
      <c r="G159" s="855"/>
      <c r="H159" s="864"/>
      <c r="I159" s="865"/>
      <c r="J159" s="866"/>
      <c r="K159" s="867"/>
      <c r="L159" s="868"/>
      <c r="M159" s="869">
        <f t="shared" ref="M159:M160" si="163">(L159*13)*F159</f>
        <v>0</v>
      </c>
      <c r="N159" s="869"/>
      <c r="O159" s="869"/>
      <c r="P159" s="869"/>
      <c r="Q159" s="869"/>
      <c r="R159" s="870"/>
      <c r="S159" s="871"/>
      <c r="T159" s="871"/>
      <c r="U159" s="871">
        <f t="shared" si="159"/>
        <v>0</v>
      </c>
      <c r="V159" s="871">
        <f t="shared" si="153"/>
        <v>0</v>
      </c>
      <c r="W159" s="871"/>
      <c r="X159" s="871"/>
      <c r="Y159" s="869"/>
      <c r="Z159" s="872"/>
      <c r="AA159" s="1434"/>
      <c r="AB159" s="873"/>
      <c r="AC159" s="873"/>
      <c r="AD159" s="873"/>
      <c r="AE159" s="1437"/>
    </row>
    <row r="160" spans="1:31" s="1" customFormat="1" ht="24" hidden="1" customHeight="1" x14ac:dyDescent="0.15">
      <c r="A160" s="1431"/>
      <c r="B160" s="1433"/>
      <c r="C160" s="1433"/>
      <c r="D160" s="1433"/>
      <c r="E160" s="1433"/>
      <c r="F160" s="859"/>
      <c r="G160" s="855"/>
      <c r="H160" s="864"/>
      <c r="I160" s="865"/>
      <c r="J160" s="866"/>
      <c r="K160" s="867"/>
      <c r="L160" s="875"/>
      <c r="M160" s="869">
        <f t="shared" si="163"/>
        <v>0</v>
      </c>
      <c r="N160" s="869"/>
      <c r="O160" s="869"/>
      <c r="P160" s="869"/>
      <c r="Q160" s="869"/>
      <c r="R160" s="870"/>
      <c r="S160" s="871"/>
      <c r="T160" s="871"/>
      <c r="U160" s="871">
        <f t="shared" si="159"/>
        <v>0</v>
      </c>
      <c r="V160" s="871">
        <f t="shared" si="153"/>
        <v>0</v>
      </c>
      <c r="W160" s="871"/>
      <c r="X160" s="871"/>
      <c r="Y160" s="869"/>
      <c r="Z160" s="872"/>
      <c r="AA160" s="1435"/>
      <c r="AB160" s="876"/>
      <c r="AC160" s="876"/>
      <c r="AD160" s="876"/>
      <c r="AE160" s="1438"/>
    </row>
    <row r="161" spans="1:31" s="96" customFormat="1" ht="35.1" customHeight="1" x14ac:dyDescent="0.15">
      <c r="A161" s="1439" t="s">
        <v>927</v>
      </c>
      <c r="B161" s="1440"/>
      <c r="C161" s="1440"/>
      <c r="D161" s="1440"/>
      <c r="E161" s="1440"/>
      <c r="F161" s="1440"/>
      <c r="G161" s="1440"/>
      <c r="H161" s="1441"/>
      <c r="I161" s="1098">
        <f t="shared" ref="I161:S161" si="164">SUM(I155:I160)</f>
        <v>62883000</v>
      </c>
      <c r="J161" s="1098">
        <f t="shared" si="164"/>
        <v>6222600</v>
      </c>
      <c r="K161" s="1098">
        <f t="shared" si="164"/>
        <v>480000</v>
      </c>
      <c r="L161" s="1098"/>
      <c r="M161" s="1098">
        <f t="shared" si="164"/>
        <v>5867160</v>
      </c>
      <c r="N161" s="1098"/>
      <c r="O161" s="1098"/>
      <c r="P161" s="1098">
        <f t="shared" si="164"/>
        <v>0</v>
      </c>
      <c r="Q161" s="1098">
        <f t="shared" si="164"/>
        <v>0</v>
      </c>
      <c r="R161" s="1098">
        <f t="shared" si="164"/>
        <v>12569760</v>
      </c>
      <c r="S161" s="1098">
        <f t="shared" si="164"/>
        <v>6287750</v>
      </c>
      <c r="T161" s="1098">
        <f t="shared" ref="T161:Y161" si="165">SUM(T155:T160)</f>
        <v>3395370</v>
      </c>
      <c r="U161" s="1098">
        <f t="shared" si="165"/>
        <v>2674810</v>
      </c>
      <c r="V161" s="1098">
        <f t="shared" si="165"/>
        <v>342660</v>
      </c>
      <c r="W161" s="1098">
        <f t="shared" si="165"/>
        <v>792260</v>
      </c>
      <c r="X161" s="1098">
        <f t="shared" si="165"/>
        <v>603620</v>
      </c>
      <c r="Y161" s="1098">
        <f t="shared" si="165"/>
        <v>7808720</v>
      </c>
      <c r="Z161" s="1098">
        <f>SUM(Z155:Z160)</f>
        <v>14096470</v>
      </c>
      <c r="AA161" s="1098">
        <f>SUM(AA155:AA160)</f>
        <v>89549230</v>
      </c>
      <c r="AB161" s="1098">
        <f>SUM(AB155:AB160)</f>
        <v>5400000</v>
      </c>
      <c r="AC161" s="1098">
        <f>SUM(AC155:AC160)</f>
        <v>1200000</v>
      </c>
      <c r="AD161" s="1098">
        <f>SUM(AD155:AD160)</f>
        <v>6600000</v>
      </c>
      <c r="AE161" s="1099"/>
    </row>
    <row r="162" spans="1:31" s="1" customFormat="1" ht="35.1" customHeight="1" x14ac:dyDescent="0.15">
      <c r="A162" s="1461" t="str">
        <f>A117</f>
        <v>※ 보건복지가족부 2022년 종사자 보수지급기준표 적용.</v>
      </c>
      <c r="B162" s="1461"/>
      <c r="C162" s="1461"/>
      <c r="D162" s="1461"/>
      <c r="E162" s="1461"/>
      <c r="F162" s="1461"/>
      <c r="G162" s="1461"/>
      <c r="H162" s="1461"/>
      <c r="I162" s="1461"/>
      <c r="J162" s="1461"/>
      <c r="K162" s="1461"/>
      <c r="L162" s="1461"/>
      <c r="M162" s="1461"/>
      <c r="N162" s="1461"/>
      <c r="O162" s="1461"/>
      <c r="P162" s="1461"/>
      <c r="Q162" s="1461"/>
      <c r="R162" s="1461"/>
      <c r="S162" s="1461"/>
      <c r="T162" s="1461"/>
      <c r="U162" s="1461"/>
      <c r="V162" s="1461"/>
      <c r="W162" s="1461"/>
      <c r="X162" s="1461"/>
      <c r="Y162" s="1461"/>
      <c r="Z162" s="1461"/>
      <c r="AA162" s="1461"/>
      <c r="AB162" s="1094"/>
      <c r="AC162" s="1094"/>
      <c r="AD162" s="1094"/>
      <c r="AE162" s="2"/>
    </row>
    <row r="163" spans="1:31" s="1" customFormat="1" ht="30" customHeight="1" x14ac:dyDescent="0.15">
      <c r="A163" s="1452" t="s">
        <v>1088</v>
      </c>
      <c r="B163" s="1452"/>
      <c r="C163" s="1452"/>
      <c r="D163" s="1452"/>
      <c r="E163" s="1452"/>
      <c r="F163" s="1452"/>
      <c r="G163" s="1452"/>
      <c r="H163" s="1452"/>
      <c r="I163" s="1452"/>
      <c r="J163" s="1452"/>
      <c r="K163" s="1452"/>
      <c r="L163" s="1452"/>
      <c r="M163" s="1452"/>
      <c r="N163" s="1452"/>
      <c r="O163" s="1452"/>
      <c r="P163" s="1452"/>
      <c r="Q163" s="1452"/>
      <c r="R163" s="1452"/>
      <c r="S163" s="1452"/>
      <c r="T163" s="1452"/>
      <c r="U163" s="1452"/>
      <c r="V163" s="1452"/>
      <c r="W163" s="1452"/>
      <c r="X163" s="1452"/>
      <c r="Y163" s="1452"/>
      <c r="Z163" s="1452"/>
      <c r="AA163" s="1452"/>
      <c r="AB163" s="1452"/>
      <c r="AC163" s="1452"/>
      <c r="AD163" s="1452"/>
      <c r="AE163" s="1452"/>
    </row>
    <row r="164" spans="1:31" s="1" customFormat="1" ht="33" customHeight="1" x14ac:dyDescent="0.15">
      <c r="A164" s="1453" t="s">
        <v>884</v>
      </c>
      <c r="B164" s="1454"/>
      <c r="C164" s="1454"/>
      <c r="D164" s="4"/>
      <c r="E164" s="4"/>
      <c r="F164" s="4"/>
      <c r="G164" s="4"/>
      <c r="H164" s="1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</row>
    <row r="165" spans="1:31" s="1" customFormat="1" ht="20.25" customHeight="1" x14ac:dyDescent="0.15">
      <c r="A165" s="1446" t="s">
        <v>47</v>
      </c>
      <c r="B165" s="1446" t="s">
        <v>48</v>
      </c>
      <c r="C165" s="1446" t="s">
        <v>72</v>
      </c>
      <c r="D165" s="1446" t="s">
        <v>169</v>
      </c>
      <c r="E165" s="848"/>
      <c r="F165" s="848"/>
      <c r="G165" s="1446" t="s">
        <v>49</v>
      </c>
      <c r="H165" s="1444" t="s">
        <v>165</v>
      </c>
      <c r="I165" s="1444" t="s">
        <v>74</v>
      </c>
      <c r="J165" s="1448" t="s">
        <v>62</v>
      </c>
      <c r="K165" s="1449"/>
      <c r="L165" s="1449"/>
      <c r="M165" s="1449"/>
      <c r="N165" s="1449"/>
      <c r="O165" s="1449"/>
      <c r="P165" s="1449"/>
      <c r="Q165" s="1449"/>
      <c r="R165" s="1450"/>
      <c r="S165" s="1442" t="s">
        <v>53</v>
      </c>
      <c r="T165" s="1442" t="s">
        <v>160</v>
      </c>
      <c r="U165" s="1442" t="s">
        <v>161</v>
      </c>
      <c r="V165" s="1442" t="s">
        <v>164</v>
      </c>
      <c r="W165" s="1442" t="s">
        <v>162</v>
      </c>
      <c r="X165" s="1442" t="s">
        <v>163</v>
      </c>
      <c r="Y165" s="1442" t="s">
        <v>230</v>
      </c>
      <c r="Z165" s="1442" t="s">
        <v>170</v>
      </c>
      <c r="AA165" s="1444" t="s">
        <v>71</v>
      </c>
      <c r="AB165" s="1448" t="s">
        <v>68</v>
      </c>
      <c r="AC165" s="1449"/>
      <c r="AD165" s="1450"/>
      <c r="AE165" s="1444" t="s">
        <v>50</v>
      </c>
    </row>
    <row r="166" spans="1:31" s="1" customFormat="1" ht="30" customHeight="1" x14ac:dyDescent="0.15">
      <c r="A166" s="1447"/>
      <c r="B166" s="1447"/>
      <c r="C166" s="1447"/>
      <c r="D166" s="1447"/>
      <c r="E166" s="849"/>
      <c r="F166" s="849"/>
      <c r="G166" s="1447"/>
      <c r="H166" s="1445"/>
      <c r="I166" s="1445"/>
      <c r="J166" s="850" t="s">
        <v>441</v>
      </c>
      <c r="K166" s="850" t="s">
        <v>157</v>
      </c>
      <c r="L166" s="850" t="s">
        <v>168</v>
      </c>
      <c r="M166" s="850" t="s">
        <v>158</v>
      </c>
      <c r="N166" s="850" t="str">
        <f>N4</f>
        <v>휴일근로시간</v>
      </c>
      <c r="O166" s="850" t="str">
        <f>O4</f>
        <v>휴일근로수당</v>
      </c>
      <c r="P166" s="851" t="s">
        <v>978</v>
      </c>
      <c r="Q166" s="851" t="s">
        <v>231</v>
      </c>
      <c r="R166" s="850" t="s">
        <v>63</v>
      </c>
      <c r="S166" s="1443"/>
      <c r="T166" s="1443"/>
      <c r="U166" s="1443"/>
      <c r="V166" s="1443"/>
      <c r="W166" s="1443"/>
      <c r="X166" s="1443"/>
      <c r="Y166" s="1443"/>
      <c r="Z166" s="1443"/>
      <c r="AA166" s="1445"/>
      <c r="AB166" s="852" t="s">
        <v>228</v>
      </c>
      <c r="AC166" s="852" t="s">
        <v>229</v>
      </c>
      <c r="AD166" s="853" t="s">
        <v>69</v>
      </c>
      <c r="AE166" s="1445"/>
    </row>
    <row r="167" spans="1:31" s="1" customFormat="1" ht="24.95" customHeight="1" x14ac:dyDescent="0.15">
      <c r="A167" s="1430">
        <v>1</v>
      </c>
      <c r="B167" s="1432" t="s">
        <v>153</v>
      </c>
      <c r="C167" s="1432" t="s">
        <v>154</v>
      </c>
      <c r="D167" s="1432">
        <v>6</v>
      </c>
      <c r="E167" s="1432">
        <f>F167+F168</f>
        <v>12</v>
      </c>
      <c r="F167" s="854">
        <v>5</v>
      </c>
      <c r="G167" s="855" t="s">
        <v>189</v>
      </c>
      <c r="H167" s="864"/>
      <c r="I167" s="865">
        <f t="shared" ref="I167:I177" si="166">H167*F167</f>
        <v>0</v>
      </c>
      <c r="J167" s="866">
        <f>H167*60%</f>
        <v>0</v>
      </c>
      <c r="K167" s="867"/>
      <c r="L167" s="868">
        <f>ROUND(H167*1/209*1.5,-1)</f>
        <v>0</v>
      </c>
      <c r="M167" s="869">
        <f>(L167*20)*F167</f>
        <v>0</v>
      </c>
      <c r="N167" s="869"/>
      <c r="O167" s="869"/>
      <c r="P167" s="869">
        <f t="shared" ref="P167:P188" si="167">(L167*5)*F167</f>
        <v>0</v>
      </c>
      <c r="Q167" s="869">
        <f>300000*12</f>
        <v>3600000</v>
      </c>
      <c r="R167" s="870">
        <f>SUM(J167,K167,M167,P167,Q167)</f>
        <v>3600000</v>
      </c>
      <c r="S167" s="871">
        <f t="shared" ref="S167:S190" si="168">ROUNDUP((I167+J167+K167+M167+P167+Q167)*1/12,-1)</f>
        <v>300000</v>
      </c>
      <c r="T167" s="871"/>
      <c r="U167" s="871">
        <f>ROUNDUP((R167)*3.545%,-1)</f>
        <v>127620</v>
      </c>
      <c r="V167" s="871">
        <f>ROUNDUP(U167*12.81%,-1)</f>
        <v>16350</v>
      </c>
      <c r="W167" s="871"/>
      <c r="X167" s="871"/>
      <c r="Y167" s="869">
        <f>SUM(T167:X167)</f>
        <v>143970</v>
      </c>
      <c r="Z167" s="872">
        <f>SUM(S167,Y167)</f>
        <v>443970</v>
      </c>
      <c r="AA167" s="1434">
        <f>SUM(Z167,Z168,R167,R168,I167,I168)</f>
        <v>4043970</v>
      </c>
      <c r="AB167" s="873"/>
      <c r="AC167" s="873"/>
      <c r="AD167" s="874"/>
      <c r="AE167" s="1430"/>
    </row>
    <row r="168" spans="1:31" s="1" customFormat="1" ht="24.95" customHeight="1" x14ac:dyDescent="0.15">
      <c r="A168" s="1431"/>
      <c r="B168" s="1433"/>
      <c r="C168" s="1433"/>
      <c r="D168" s="1433"/>
      <c r="E168" s="1433"/>
      <c r="F168" s="859">
        <v>7</v>
      </c>
      <c r="G168" s="855">
        <f>G167+1</f>
        <v>16</v>
      </c>
      <c r="H168" s="864"/>
      <c r="I168" s="865">
        <f t="shared" si="166"/>
        <v>0</v>
      </c>
      <c r="J168" s="866">
        <f>H168*60%</f>
        <v>0</v>
      </c>
      <c r="K168" s="867"/>
      <c r="L168" s="875">
        <f>ROUND(H168*1/209*1.5,-1)</f>
        <v>0</v>
      </c>
      <c r="M168" s="869">
        <f>(L168*20)*F168</f>
        <v>0</v>
      </c>
      <c r="N168" s="869"/>
      <c r="O168" s="869"/>
      <c r="P168" s="869">
        <f t="shared" si="167"/>
        <v>0</v>
      </c>
      <c r="Q168" s="869"/>
      <c r="R168" s="870">
        <f>SUM(J168,K168,M168,P168,Q168)</f>
        <v>0</v>
      </c>
      <c r="S168" s="871">
        <f t="shared" si="168"/>
        <v>0</v>
      </c>
      <c r="T168" s="871"/>
      <c r="U168" s="871">
        <f t="shared" ref="U168:U190" si="169">ROUNDUP((R168)*3.545%,-1)</f>
        <v>0</v>
      </c>
      <c r="V168" s="871">
        <f t="shared" ref="V168:V190" si="170">ROUNDUP(U168*12.81%,-1)</f>
        <v>0</v>
      </c>
      <c r="W168" s="871"/>
      <c r="X168" s="871"/>
      <c r="Y168" s="869">
        <f>SUM(T168:X168)</f>
        <v>0</v>
      </c>
      <c r="Z168" s="872">
        <f>SUM(S168,Y168)</f>
        <v>0</v>
      </c>
      <c r="AA168" s="1435"/>
      <c r="AB168" s="876"/>
      <c r="AC168" s="876"/>
      <c r="AD168" s="877"/>
      <c r="AE168" s="1431"/>
    </row>
    <row r="169" spans="1:31" s="1" customFormat="1" ht="24.95" customHeight="1" x14ac:dyDescent="0.15">
      <c r="A169" s="1430">
        <v>2</v>
      </c>
      <c r="B169" s="1432" t="s">
        <v>166</v>
      </c>
      <c r="C169" s="1432" t="s">
        <v>167</v>
      </c>
      <c r="D169" s="1432">
        <v>5</v>
      </c>
      <c r="E169" s="1432">
        <f>F169+F170</f>
        <v>12</v>
      </c>
      <c r="F169" s="854">
        <v>4</v>
      </c>
      <c r="G169" s="855" t="s">
        <v>972</v>
      </c>
      <c r="H169" s="864"/>
      <c r="I169" s="865">
        <f t="shared" si="166"/>
        <v>0</v>
      </c>
      <c r="J169" s="866">
        <f t="shared" ref="J169:J174" si="171">H169*60%</f>
        <v>0</v>
      </c>
      <c r="K169" s="867"/>
      <c r="L169" s="868">
        <f t="shared" ref="L169:L188" si="172">ROUND(H169*1/209*1.5,-1)</f>
        <v>0</v>
      </c>
      <c r="M169" s="869">
        <f t="shared" ref="M169:M188" si="173">(L169*20)*F169</f>
        <v>0</v>
      </c>
      <c r="N169" s="869"/>
      <c r="O169" s="869"/>
      <c r="P169" s="869">
        <f t="shared" si="167"/>
        <v>0</v>
      </c>
      <c r="Q169" s="869">
        <f>200000*12</f>
        <v>2400000</v>
      </c>
      <c r="R169" s="870">
        <f t="shared" ref="R169:R190" si="174">SUM(J169,K169,M169,P169,Q169)</f>
        <v>2400000</v>
      </c>
      <c r="S169" s="871">
        <f t="shared" si="168"/>
        <v>200000</v>
      </c>
      <c r="T169" s="871">
        <f>ROUND((R169)*4.5%,-1)</f>
        <v>108000</v>
      </c>
      <c r="U169" s="871">
        <f t="shared" si="169"/>
        <v>85080</v>
      </c>
      <c r="V169" s="871">
        <f t="shared" si="170"/>
        <v>10900</v>
      </c>
      <c r="W169" s="871">
        <f>ROUND((R169)*1.05%,-1)</f>
        <v>25200</v>
      </c>
      <c r="X169" s="871">
        <f>ROUND((R169)*0.8%,-1)</f>
        <v>19200</v>
      </c>
      <c r="Y169" s="869">
        <f t="shared" ref="Y169:Y176" si="175">SUM(T169:X169)</f>
        <v>248380</v>
      </c>
      <c r="Z169" s="872">
        <f t="shared" ref="Z169:Z190" si="176">SUM(S169,Y169)</f>
        <v>448380</v>
      </c>
      <c r="AA169" s="1434">
        <f>SUM(Z169,Z170,R169,R170,I169,I170)</f>
        <v>2848380</v>
      </c>
      <c r="AB169" s="873"/>
      <c r="AC169" s="873"/>
      <c r="AD169" s="874"/>
      <c r="AE169" s="1430"/>
    </row>
    <row r="170" spans="1:31" s="1" customFormat="1" ht="24.95" customHeight="1" x14ac:dyDescent="0.15">
      <c r="A170" s="1431"/>
      <c r="B170" s="1433"/>
      <c r="C170" s="1433"/>
      <c r="D170" s="1433"/>
      <c r="E170" s="1433"/>
      <c r="F170" s="859">
        <v>8</v>
      </c>
      <c r="G170" s="855">
        <f>G169+1</f>
        <v>21</v>
      </c>
      <c r="H170" s="864"/>
      <c r="I170" s="865">
        <f t="shared" si="166"/>
        <v>0</v>
      </c>
      <c r="J170" s="866">
        <f t="shared" si="171"/>
        <v>0</v>
      </c>
      <c r="K170" s="867"/>
      <c r="L170" s="875">
        <f t="shared" si="172"/>
        <v>0</v>
      </c>
      <c r="M170" s="869">
        <f t="shared" si="173"/>
        <v>0</v>
      </c>
      <c r="N170" s="869"/>
      <c r="O170" s="869"/>
      <c r="P170" s="869">
        <f t="shared" si="167"/>
        <v>0</v>
      </c>
      <c r="Q170" s="869"/>
      <c r="R170" s="870">
        <f t="shared" si="174"/>
        <v>0</v>
      </c>
      <c r="S170" s="871">
        <f t="shared" si="168"/>
        <v>0</v>
      </c>
      <c r="T170" s="871">
        <f t="shared" ref="T170:T190" si="177">ROUND((R170)*4.5%,-1)</f>
        <v>0</v>
      </c>
      <c r="U170" s="871">
        <f t="shared" si="169"/>
        <v>0</v>
      </c>
      <c r="V170" s="871">
        <f t="shared" si="170"/>
        <v>0</v>
      </c>
      <c r="W170" s="871">
        <f t="shared" ref="W170:W190" si="178">ROUND((R170)*1.05%,-1)</f>
        <v>0</v>
      </c>
      <c r="X170" s="871">
        <f t="shared" ref="X170:X190" si="179">ROUND((R170)*0.8%,-1)</f>
        <v>0</v>
      </c>
      <c r="Y170" s="869">
        <f t="shared" si="175"/>
        <v>0</v>
      </c>
      <c r="Z170" s="872">
        <f t="shared" si="176"/>
        <v>0</v>
      </c>
      <c r="AA170" s="1435"/>
      <c r="AB170" s="876"/>
      <c r="AC170" s="876"/>
      <c r="AD170" s="877"/>
      <c r="AE170" s="1431"/>
    </row>
    <row r="171" spans="1:31" s="1" customFormat="1" ht="24.95" customHeight="1" x14ac:dyDescent="0.15">
      <c r="A171" s="1430">
        <v>3</v>
      </c>
      <c r="B171" s="1451" t="s">
        <v>171</v>
      </c>
      <c r="C171" s="1432" t="s">
        <v>172</v>
      </c>
      <c r="D171" s="1432">
        <v>7</v>
      </c>
      <c r="E171" s="1432">
        <f>F171+F172</f>
        <v>12</v>
      </c>
      <c r="F171" s="854">
        <v>6</v>
      </c>
      <c r="G171" s="855" t="s">
        <v>967</v>
      </c>
      <c r="H171" s="864"/>
      <c r="I171" s="865">
        <f t="shared" si="166"/>
        <v>0</v>
      </c>
      <c r="J171" s="866">
        <f t="shared" si="171"/>
        <v>0</v>
      </c>
      <c r="K171" s="867"/>
      <c r="L171" s="868">
        <f t="shared" si="172"/>
        <v>0</v>
      </c>
      <c r="M171" s="869">
        <f t="shared" si="173"/>
        <v>0</v>
      </c>
      <c r="N171" s="869"/>
      <c r="O171" s="869"/>
      <c r="P171" s="869">
        <f t="shared" si="167"/>
        <v>0</v>
      </c>
      <c r="Q171" s="869">
        <f>150000*12</f>
        <v>1800000</v>
      </c>
      <c r="R171" s="870">
        <f t="shared" si="174"/>
        <v>1800000</v>
      </c>
      <c r="S171" s="871">
        <f t="shared" si="168"/>
        <v>150000</v>
      </c>
      <c r="T171" s="871">
        <f t="shared" si="177"/>
        <v>81000</v>
      </c>
      <c r="U171" s="871">
        <f t="shared" si="169"/>
        <v>63810</v>
      </c>
      <c r="V171" s="871">
        <f t="shared" si="170"/>
        <v>8180</v>
      </c>
      <c r="W171" s="871">
        <f t="shared" si="178"/>
        <v>18900</v>
      </c>
      <c r="X171" s="871">
        <f t="shared" si="179"/>
        <v>14400</v>
      </c>
      <c r="Y171" s="869">
        <f t="shared" si="175"/>
        <v>186290</v>
      </c>
      <c r="Z171" s="872">
        <f t="shared" si="176"/>
        <v>336290</v>
      </c>
      <c r="AA171" s="1434">
        <f>SUM(Z171,Z172,R171,R172,I171,I172)</f>
        <v>2136290</v>
      </c>
      <c r="AB171" s="873"/>
      <c r="AC171" s="873"/>
      <c r="AD171" s="874"/>
      <c r="AE171" s="1430"/>
    </row>
    <row r="172" spans="1:31" s="1" customFormat="1" ht="24.95" customHeight="1" x14ac:dyDescent="0.15">
      <c r="A172" s="1431"/>
      <c r="B172" s="1433"/>
      <c r="C172" s="1433"/>
      <c r="D172" s="1433"/>
      <c r="E172" s="1433"/>
      <c r="F172" s="859">
        <v>6</v>
      </c>
      <c r="G172" s="855">
        <f>G171+1</f>
        <v>19</v>
      </c>
      <c r="H172" s="864"/>
      <c r="I172" s="865">
        <f t="shared" si="166"/>
        <v>0</v>
      </c>
      <c r="J172" s="866">
        <f t="shared" si="171"/>
        <v>0</v>
      </c>
      <c r="K172" s="867"/>
      <c r="L172" s="875">
        <f t="shared" si="172"/>
        <v>0</v>
      </c>
      <c r="M172" s="869">
        <f t="shared" si="173"/>
        <v>0</v>
      </c>
      <c r="N172" s="869"/>
      <c r="O172" s="869"/>
      <c r="P172" s="869">
        <f t="shared" si="167"/>
        <v>0</v>
      </c>
      <c r="Q172" s="869"/>
      <c r="R172" s="870">
        <f t="shared" si="174"/>
        <v>0</v>
      </c>
      <c r="S172" s="871">
        <f t="shared" si="168"/>
        <v>0</v>
      </c>
      <c r="T172" s="871">
        <f t="shared" si="177"/>
        <v>0</v>
      </c>
      <c r="U172" s="871">
        <f t="shared" si="169"/>
        <v>0</v>
      </c>
      <c r="V172" s="871">
        <f t="shared" si="170"/>
        <v>0</v>
      </c>
      <c r="W172" s="871">
        <f t="shared" si="178"/>
        <v>0</v>
      </c>
      <c r="X172" s="871">
        <f t="shared" si="179"/>
        <v>0</v>
      </c>
      <c r="Y172" s="869">
        <f t="shared" si="175"/>
        <v>0</v>
      </c>
      <c r="Z172" s="872">
        <f t="shared" si="176"/>
        <v>0</v>
      </c>
      <c r="AA172" s="1435"/>
      <c r="AB172" s="876"/>
      <c r="AC172" s="876"/>
      <c r="AD172" s="877"/>
      <c r="AE172" s="1431"/>
    </row>
    <row r="173" spans="1:31" s="1" customFormat="1" ht="24.95" customHeight="1" x14ac:dyDescent="0.15">
      <c r="A173" s="1430">
        <v>4</v>
      </c>
      <c r="B173" s="1451" t="s">
        <v>176</v>
      </c>
      <c r="C173" s="1432" t="s">
        <v>177</v>
      </c>
      <c r="D173" s="1432">
        <v>4</v>
      </c>
      <c r="E173" s="1432">
        <f>F173+F174</f>
        <v>12</v>
      </c>
      <c r="F173" s="854">
        <v>3</v>
      </c>
      <c r="G173" s="855" t="s">
        <v>968</v>
      </c>
      <c r="H173" s="864"/>
      <c r="I173" s="865">
        <f t="shared" si="166"/>
        <v>0</v>
      </c>
      <c r="J173" s="866">
        <f t="shared" si="171"/>
        <v>0</v>
      </c>
      <c r="K173" s="867"/>
      <c r="L173" s="868">
        <f t="shared" si="172"/>
        <v>0</v>
      </c>
      <c r="M173" s="869">
        <f t="shared" si="173"/>
        <v>0</v>
      </c>
      <c r="N173" s="869"/>
      <c r="O173" s="869"/>
      <c r="P173" s="869">
        <f t="shared" si="167"/>
        <v>0</v>
      </c>
      <c r="Q173" s="869">
        <f>100000*12</f>
        <v>1200000</v>
      </c>
      <c r="R173" s="870">
        <f t="shared" si="174"/>
        <v>1200000</v>
      </c>
      <c r="S173" s="871">
        <f t="shared" si="168"/>
        <v>100000</v>
      </c>
      <c r="T173" s="871">
        <f t="shared" si="177"/>
        <v>54000</v>
      </c>
      <c r="U173" s="871">
        <f t="shared" si="169"/>
        <v>42540</v>
      </c>
      <c r="V173" s="871">
        <f t="shared" si="170"/>
        <v>5450</v>
      </c>
      <c r="W173" s="871">
        <f t="shared" si="178"/>
        <v>12600</v>
      </c>
      <c r="X173" s="871">
        <f t="shared" si="179"/>
        <v>9600</v>
      </c>
      <c r="Y173" s="869">
        <f t="shared" si="175"/>
        <v>124190</v>
      </c>
      <c r="Z173" s="872">
        <f t="shared" si="176"/>
        <v>224190</v>
      </c>
      <c r="AA173" s="1434">
        <f>SUM(Z173,Z174,R173,R174,I173,I174)</f>
        <v>1424190</v>
      </c>
      <c r="AB173" s="873"/>
      <c r="AC173" s="873"/>
      <c r="AD173" s="874"/>
      <c r="AE173" s="1430"/>
    </row>
    <row r="174" spans="1:31" s="1" customFormat="1" ht="24.95" customHeight="1" x14ac:dyDescent="0.15">
      <c r="A174" s="1431"/>
      <c r="B174" s="1433"/>
      <c r="C174" s="1433"/>
      <c r="D174" s="1433"/>
      <c r="E174" s="1433"/>
      <c r="F174" s="859">
        <v>9</v>
      </c>
      <c r="G174" s="855">
        <f>G173+1</f>
        <v>26</v>
      </c>
      <c r="H174" s="864"/>
      <c r="I174" s="865">
        <f t="shared" si="166"/>
        <v>0</v>
      </c>
      <c r="J174" s="866">
        <f t="shared" si="171"/>
        <v>0</v>
      </c>
      <c r="K174" s="867"/>
      <c r="L174" s="875">
        <f t="shared" si="172"/>
        <v>0</v>
      </c>
      <c r="M174" s="869">
        <f t="shared" si="173"/>
        <v>0</v>
      </c>
      <c r="N174" s="869"/>
      <c r="O174" s="869"/>
      <c r="P174" s="869">
        <f t="shared" si="167"/>
        <v>0</v>
      </c>
      <c r="Q174" s="869"/>
      <c r="R174" s="870">
        <f t="shared" si="174"/>
        <v>0</v>
      </c>
      <c r="S174" s="871">
        <f t="shared" si="168"/>
        <v>0</v>
      </c>
      <c r="T174" s="871">
        <f t="shared" si="177"/>
        <v>0</v>
      </c>
      <c r="U174" s="871">
        <f t="shared" si="169"/>
        <v>0</v>
      </c>
      <c r="V174" s="871">
        <f t="shared" si="170"/>
        <v>0</v>
      </c>
      <c r="W174" s="871">
        <f t="shared" si="178"/>
        <v>0</v>
      </c>
      <c r="X174" s="871">
        <f t="shared" si="179"/>
        <v>0</v>
      </c>
      <c r="Y174" s="869">
        <f t="shared" si="175"/>
        <v>0</v>
      </c>
      <c r="Z174" s="872">
        <f t="shared" si="176"/>
        <v>0</v>
      </c>
      <c r="AA174" s="1435"/>
      <c r="AB174" s="876"/>
      <c r="AC174" s="876"/>
      <c r="AD174" s="877"/>
      <c r="AE174" s="1431"/>
    </row>
    <row r="175" spans="1:31" s="1" customFormat="1" ht="24.95" customHeight="1" x14ac:dyDescent="0.15">
      <c r="A175" s="1430">
        <v>5</v>
      </c>
      <c r="B175" s="1451" t="s">
        <v>185</v>
      </c>
      <c r="C175" s="1432" t="s">
        <v>186</v>
      </c>
      <c r="D175" s="1432">
        <v>11</v>
      </c>
      <c r="E175" s="1432">
        <f>F175+F176</f>
        <v>12</v>
      </c>
      <c r="F175" s="854">
        <v>11</v>
      </c>
      <c r="G175" s="855" t="s">
        <v>973</v>
      </c>
      <c r="H175" s="864"/>
      <c r="I175" s="865">
        <f t="shared" si="166"/>
        <v>0</v>
      </c>
      <c r="J175" s="866">
        <f>(H175*60%)*2</f>
        <v>0</v>
      </c>
      <c r="K175" s="867"/>
      <c r="L175" s="868">
        <f t="shared" si="172"/>
        <v>0</v>
      </c>
      <c r="M175" s="869">
        <f t="shared" si="173"/>
        <v>0</v>
      </c>
      <c r="N175" s="869"/>
      <c r="O175" s="869"/>
      <c r="P175" s="869">
        <f t="shared" si="167"/>
        <v>0</v>
      </c>
      <c r="Q175" s="869">
        <f>100000*12</f>
        <v>1200000</v>
      </c>
      <c r="R175" s="870">
        <f t="shared" si="174"/>
        <v>1200000</v>
      </c>
      <c r="S175" s="871">
        <f t="shared" si="168"/>
        <v>100000</v>
      </c>
      <c r="T175" s="871">
        <f t="shared" si="177"/>
        <v>54000</v>
      </c>
      <c r="U175" s="871">
        <f t="shared" si="169"/>
        <v>42540</v>
      </c>
      <c r="V175" s="871">
        <f t="shared" si="170"/>
        <v>5450</v>
      </c>
      <c r="W175" s="871">
        <f t="shared" si="178"/>
        <v>12600</v>
      </c>
      <c r="X175" s="871">
        <f t="shared" si="179"/>
        <v>9600</v>
      </c>
      <c r="Y175" s="869">
        <f t="shared" si="175"/>
        <v>124190</v>
      </c>
      <c r="Z175" s="872">
        <f t="shared" si="176"/>
        <v>224190</v>
      </c>
      <c r="AA175" s="1434">
        <f>SUM(Z175,Z176,R175,R176,I175,I176)</f>
        <v>1424190</v>
      </c>
      <c r="AB175" s="873"/>
      <c r="AC175" s="873"/>
      <c r="AD175" s="874"/>
      <c r="AE175" s="1430"/>
    </row>
    <row r="176" spans="1:31" s="1" customFormat="1" ht="24.95" customHeight="1" x14ac:dyDescent="0.15">
      <c r="A176" s="1431"/>
      <c r="B176" s="1433"/>
      <c r="C176" s="1433"/>
      <c r="D176" s="1433"/>
      <c r="E176" s="1433"/>
      <c r="F176" s="859">
        <v>1</v>
      </c>
      <c r="G176" s="855">
        <f>G175+1</f>
        <v>15</v>
      </c>
      <c r="H176" s="864"/>
      <c r="I176" s="865">
        <f t="shared" si="166"/>
        <v>0</v>
      </c>
      <c r="J176" s="866"/>
      <c r="K176" s="867"/>
      <c r="L176" s="875">
        <f t="shared" si="172"/>
        <v>0</v>
      </c>
      <c r="M176" s="869">
        <f t="shared" si="173"/>
        <v>0</v>
      </c>
      <c r="N176" s="869"/>
      <c r="O176" s="869"/>
      <c r="P176" s="869">
        <f t="shared" si="167"/>
        <v>0</v>
      </c>
      <c r="Q176" s="869"/>
      <c r="R176" s="870">
        <f t="shared" si="174"/>
        <v>0</v>
      </c>
      <c r="S176" s="871">
        <f t="shared" si="168"/>
        <v>0</v>
      </c>
      <c r="T176" s="871">
        <f t="shared" si="177"/>
        <v>0</v>
      </c>
      <c r="U176" s="871">
        <f t="shared" si="169"/>
        <v>0</v>
      </c>
      <c r="V176" s="871">
        <f t="shared" si="170"/>
        <v>0</v>
      </c>
      <c r="W176" s="871">
        <f t="shared" si="178"/>
        <v>0</v>
      </c>
      <c r="X176" s="871">
        <f t="shared" si="179"/>
        <v>0</v>
      </c>
      <c r="Y176" s="869">
        <f t="shared" si="175"/>
        <v>0</v>
      </c>
      <c r="Z176" s="872">
        <f t="shared" si="176"/>
        <v>0</v>
      </c>
      <c r="AA176" s="1435"/>
      <c r="AB176" s="876"/>
      <c r="AC176" s="876"/>
      <c r="AD176" s="877"/>
      <c r="AE176" s="1431"/>
    </row>
    <row r="177" spans="1:31" s="1" customFormat="1" ht="24.95" customHeight="1" x14ac:dyDescent="0.15">
      <c r="A177" s="1430">
        <v>6</v>
      </c>
      <c r="B177" s="1436" t="s">
        <v>174</v>
      </c>
      <c r="C177" s="1430" t="s">
        <v>175</v>
      </c>
      <c r="D177" s="1432">
        <v>10</v>
      </c>
      <c r="E177" s="1432">
        <f>F177+F178</f>
        <v>12</v>
      </c>
      <c r="F177" s="854">
        <v>9</v>
      </c>
      <c r="G177" s="855" t="s">
        <v>974</v>
      </c>
      <c r="H177" s="864"/>
      <c r="I177" s="865">
        <f t="shared" si="166"/>
        <v>0</v>
      </c>
      <c r="J177" s="866">
        <f>H177*60%*2</f>
        <v>0</v>
      </c>
      <c r="K177" s="867"/>
      <c r="L177" s="868">
        <f t="shared" si="172"/>
        <v>0</v>
      </c>
      <c r="M177" s="869">
        <f t="shared" si="173"/>
        <v>0</v>
      </c>
      <c r="N177" s="869"/>
      <c r="O177" s="869"/>
      <c r="P177" s="869">
        <f t="shared" si="167"/>
        <v>0</v>
      </c>
      <c r="Q177" s="869">
        <f>150000*12</f>
        <v>1800000</v>
      </c>
      <c r="R177" s="870">
        <f t="shared" si="174"/>
        <v>1800000</v>
      </c>
      <c r="S177" s="871">
        <f t="shared" si="168"/>
        <v>150000</v>
      </c>
      <c r="T177" s="871">
        <f t="shared" si="177"/>
        <v>81000</v>
      </c>
      <c r="U177" s="871">
        <f t="shared" si="169"/>
        <v>63810</v>
      </c>
      <c r="V177" s="871">
        <f t="shared" si="170"/>
        <v>8180</v>
      </c>
      <c r="W177" s="871">
        <f t="shared" si="178"/>
        <v>18900</v>
      </c>
      <c r="X177" s="871">
        <f t="shared" si="179"/>
        <v>14400</v>
      </c>
      <c r="Y177" s="869">
        <f t="shared" ref="Y177:Y184" si="180">SUM(T177:X177)</f>
        <v>186290</v>
      </c>
      <c r="Z177" s="872">
        <f t="shared" si="176"/>
        <v>336290</v>
      </c>
      <c r="AA177" s="1434">
        <f>SUM(Z177,Z178,R177,R178,I177,I178)</f>
        <v>2136290</v>
      </c>
      <c r="AB177" s="873"/>
      <c r="AC177" s="873"/>
      <c r="AD177" s="874"/>
      <c r="AE177" s="1430"/>
    </row>
    <row r="178" spans="1:31" s="1" customFormat="1" ht="24.95" customHeight="1" x14ac:dyDescent="0.15">
      <c r="A178" s="1431"/>
      <c r="B178" s="1431"/>
      <c r="C178" s="1431"/>
      <c r="D178" s="1433"/>
      <c r="E178" s="1433"/>
      <c r="F178" s="859">
        <v>3</v>
      </c>
      <c r="G178" s="855">
        <f>G177+1</f>
        <v>18</v>
      </c>
      <c r="H178" s="864"/>
      <c r="I178" s="865">
        <f t="shared" ref="I178:I184" si="181">H178*F178</f>
        <v>0</v>
      </c>
      <c r="J178" s="866"/>
      <c r="K178" s="867"/>
      <c r="L178" s="875">
        <f t="shared" si="172"/>
        <v>0</v>
      </c>
      <c r="M178" s="869">
        <f t="shared" si="173"/>
        <v>0</v>
      </c>
      <c r="N178" s="869"/>
      <c r="O178" s="869"/>
      <c r="P178" s="869">
        <f t="shared" si="167"/>
        <v>0</v>
      </c>
      <c r="Q178" s="869"/>
      <c r="R178" s="870">
        <f t="shared" si="174"/>
        <v>0</v>
      </c>
      <c r="S178" s="871">
        <f t="shared" si="168"/>
        <v>0</v>
      </c>
      <c r="T178" s="871">
        <f t="shared" si="177"/>
        <v>0</v>
      </c>
      <c r="U178" s="871">
        <f t="shared" si="169"/>
        <v>0</v>
      </c>
      <c r="V178" s="871">
        <f t="shared" si="170"/>
        <v>0</v>
      </c>
      <c r="W178" s="871">
        <f t="shared" si="178"/>
        <v>0</v>
      </c>
      <c r="X178" s="871">
        <f t="shared" si="179"/>
        <v>0</v>
      </c>
      <c r="Y178" s="869">
        <f t="shared" si="180"/>
        <v>0</v>
      </c>
      <c r="Z178" s="872">
        <f t="shared" si="176"/>
        <v>0</v>
      </c>
      <c r="AA178" s="1435"/>
      <c r="AB178" s="876"/>
      <c r="AC178" s="876"/>
      <c r="AD178" s="877"/>
      <c r="AE178" s="1431"/>
    </row>
    <row r="179" spans="1:31" s="1" customFormat="1" ht="24.95" customHeight="1" x14ac:dyDescent="0.15">
      <c r="A179" s="1430">
        <v>7</v>
      </c>
      <c r="B179" s="1436" t="s">
        <v>185</v>
      </c>
      <c r="C179" s="1430" t="s">
        <v>190</v>
      </c>
      <c r="D179" s="1432">
        <v>8</v>
      </c>
      <c r="E179" s="1432">
        <f>F179+F180</f>
        <v>12</v>
      </c>
      <c r="F179" s="854">
        <v>7</v>
      </c>
      <c r="G179" s="855" t="s">
        <v>155</v>
      </c>
      <c r="H179" s="878"/>
      <c r="I179" s="865">
        <f t="shared" si="181"/>
        <v>0</v>
      </c>
      <c r="J179" s="866">
        <f>H179*60%</f>
        <v>0</v>
      </c>
      <c r="K179" s="867"/>
      <c r="L179" s="868">
        <f t="shared" si="172"/>
        <v>0</v>
      </c>
      <c r="M179" s="869">
        <f t="shared" si="173"/>
        <v>0</v>
      </c>
      <c r="N179" s="869"/>
      <c r="O179" s="869"/>
      <c r="P179" s="869">
        <f t="shared" si="167"/>
        <v>0</v>
      </c>
      <c r="Q179" s="869">
        <f>100000*12</f>
        <v>1200000</v>
      </c>
      <c r="R179" s="870">
        <f t="shared" si="174"/>
        <v>1200000</v>
      </c>
      <c r="S179" s="871">
        <f t="shared" si="168"/>
        <v>100000</v>
      </c>
      <c r="T179" s="871">
        <f t="shared" si="177"/>
        <v>54000</v>
      </c>
      <c r="U179" s="871">
        <f t="shared" si="169"/>
        <v>42540</v>
      </c>
      <c r="V179" s="871">
        <f t="shared" si="170"/>
        <v>5450</v>
      </c>
      <c r="W179" s="871">
        <f t="shared" si="178"/>
        <v>12600</v>
      </c>
      <c r="X179" s="871">
        <f t="shared" si="179"/>
        <v>9600</v>
      </c>
      <c r="Y179" s="869">
        <f t="shared" si="180"/>
        <v>124190</v>
      </c>
      <c r="Z179" s="872">
        <f t="shared" si="176"/>
        <v>224190</v>
      </c>
      <c r="AA179" s="879">
        <f>SUM(Z179,Z180,R179,R180,I179,I180)</f>
        <v>1424190</v>
      </c>
      <c r="AB179" s="873"/>
      <c r="AC179" s="873"/>
      <c r="AD179" s="874"/>
      <c r="AE179" s="1430"/>
    </row>
    <row r="180" spans="1:31" s="1" customFormat="1" ht="24.95" customHeight="1" x14ac:dyDescent="0.15">
      <c r="A180" s="1431"/>
      <c r="B180" s="1431"/>
      <c r="C180" s="1431"/>
      <c r="D180" s="1433"/>
      <c r="E180" s="1433"/>
      <c r="F180" s="859">
        <v>5</v>
      </c>
      <c r="G180" s="855">
        <f>G179+1</f>
        <v>14</v>
      </c>
      <c r="H180" s="878"/>
      <c r="I180" s="865">
        <f t="shared" si="181"/>
        <v>0</v>
      </c>
      <c r="J180" s="866">
        <f>H180*60%</f>
        <v>0</v>
      </c>
      <c r="K180" s="867"/>
      <c r="L180" s="875">
        <f t="shared" si="172"/>
        <v>0</v>
      </c>
      <c r="M180" s="869">
        <f t="shared" si="173"/>
        <v>0</v>
      </c>
      <c r="N180" s="869"/>
      <c r="O180" s="869"/>
      <c r="P180" s="869">
        <f t="shared" si="167"/>
        <v>0</v>
      </c>
      <c r="Q180" s="869"/>
      <c r="R180" s="870">
        <f t="shared" si="174"/>
        <v>0</v>
      </c>
      <c r="S180" s="871">
        <f>ROUNDUP((I180+J180+K180+M180+P180+Q180)*1/12,-1)</f>
        <v>0</v>
      </c>
      <c r="T180" s="871">
        <f t="shared" si="177"/>
        <v>0</v>
      </c>
      <c r="U180" s="871">
        <f t="shared" si="169"/>
        <v>0</v>
      </c>
      <c r="V180" s="871">
        <f t="shared" si="170"/>
        <v>0</v>
      </c>
      <c r="W180" s="871">
        <f>ROUND((R180)*1.05%,-1)</f>
        <v>0</v>
      </c>
      <c r="X180" s="871">
        <f>ROUND((R180)*0.8%,-1)</f>
        <v>0</v>
      </c>
      <c r="Y180" s="869">
        <f>SUM(T180:X180)</f>
        <v>0</v>
      </c>
      <c r="Z180" s="872">
        <f t="shared" si="176"/>
        <v>0</v>
      </c>
      <c r="AA180" s="880"/>
      <c r="AB180" s="876"/>
      <c r="AC180" s="876"/>
      <c r="AD180" s="877"/>
      <c r="AE180" s="1431"/>
    </row>
    <row r="181" spans="1:31" s="1" customFormat="1" ht="24.95" customHeight="1" x14ac:dyDescent="0.15">
      <c r="A181" s="1430">
        <v>13</v>
      </c>
      <c r="B181" s="1436" t="s">
        <v>232</v>
      </c>
      <c r="C181" s="1430" t="s">
        <v>194</v>
      </c>
      <c r="D181" s="1432">
        <v>2</v>
      </c>
      <c r="E181" s="1432">
        <f>F181+F182</f>
        <v>12</v>
      </c>
      <c r="F181" s="854">
        <v>1</v>
      </c>
      <c r="G181" s="855" t="s">
        <v>969</v>
      </c>
      <c r="H181" s="878"/>
      <c r="I181" s="865">
        <f t="shared" si="181"/>
        <v>0</v>
      </c>
      <c r="J181" s="866"/>
      <c r="K181" s="867"/>
      <c r="L181" s="868">
        <f t="shared" si="172"/>
        <v>0</v>
      </c>
      <c r="M181" s="869">
        <f t="shared" si="173"/>
        <v>0</v>
      </c>
      <c r="N181" s="869"/>
      <c r="O181" s="869"/>
      <c r="P181" s="869">
        <f t="shared" si="167"/>
        <v>0</v>
      </c>
      <c r="Q181" s="869">
        <f>100000*12</f>
        <v>1200000</v>
      </c>
      <c r="R181" s="870">
        <f t="shared" si="174"/>
        <v>1200000</v>
      </c>
      <c r="S181" s="871">
        <f>ROUNDUP((I181+J181+K181+M181+P181+Q181)*1/12,-1)</f>
        <v>100000</v>
      </c>
      <c r="T181" s="871">
        <f t="shared" si="177"/>
        <v>54000</v>
      </c>
      <c r="U181" s="871">
        <f t="shared" si="169"/>
        <v>42540</v>
      </c>
      <c r="V181" s="871">
        <f t="shared" si="170"/>
        <v>5450</v>
      </c>
      <c r="W181" s="871">
        <f>ROUND((R181)*1.05%,-1)</f>
        <v>12600</v>
      </c>
      <c r="X181" s="871">
        <f>ROUND((R181)*0.8%,-1)</f>
        <v>9600</v>
      </c>
      <c r="Y181" s="869">
        <f>SUM(T181:X181)</f>
        <v>124190</v>
      </c>
      <c r="Z181" s="872">
        <f t="shared" si="176"/>
        <v>224190</v>
      </c>
      <c r="AA181" s="1434">
        <f>SUM(Z181,Z182,R181,R182,I181,I182)</f>
        <v>1424190</v>
      </c>
      <c r="AB181" s="873">
        <f>250000*12</f>
        <v>3000000</v>
      </c>
      <c r="AC181" s="873">
        <f>50000*12</f>
        <v>600000</v>
      </c>
      <c r="AD181" s="874">
        <f>AC181+AB181</f>
        <v>3600000</v>
      </c>
      <c r="AE181" s="1430"/>
    </row>
    <row r="182" spans="1:31" s="1" customFormat="1" ht="24.95" customHeight="1" x14ac:dyDescent="0.15">
      <c r="A182" s="1431"/>
      <c r="B182" s="1431"/>
      <c r="C182" s="1431"/>
      <c r="D182" s="1433"/>
      <c r="E182" s="1433"/>
      <c r="F182" s="859">
        <v>11</v>
      </c>
      <c r="G182" s="855">
        <f>G181+1</f>
        <v>15</v>
      </c>
      <c r="H182" s="878"/>
      <c r="I182" s="865">
        <f t="shared" si="181"/>
        <v>0</v>
      </c>
      <c r="J182" s="866">
        <f>(H182*60%)*2</f>
        <v>0</v>
      </c>
      <c r="K182" s="867"/>
      <c r="L182" s="875">
        <f t="shared" si="172"/>
        <v>0</v>
      </c>
      <c r="M182" s="869">
        <f t="shared" si="173"/>
        <v>0</v>
      </c>
      <c r="N182" s="869"/>
      <c r="O182" s="869"/>
      <c r="P182" s="869">
        <f t="shared" si="167"/>
        <v>0</v>
      </c>
      <c r="Q182" s="869"/>
      <c r="R182" s="870">
        <f t="shared" si="174"/>
        <v>0</v>
      </c>
      <c r="S182" s="871">
        <f>ROUNDUP((I182+J182+K182+M182+P182+Q182)*1/12,-1)</f>
        <v>0</v>
      </c>
      <c r="T182" s="871">
        <f t="shared" si="177"/>
        <v>0</v>
      </c>
      <c r="U182" s="871">
        <f t="shared" si="169"/>
        <v>0</v>
      </c>
      <c r="V182" s="871">
        <f t="shared" si="170"/>
        <v>0</v>
      </c>
      <c r="W182" s="871">
        <f>ROUND((R182)*1.05%,-1)</f>
        <v>0</v>
      </c>
      <c r="X182" s="871">
        <f>ROUND((R182)*0.8%,-1)</f>
        <v>0</v>
      </c>
      <c r="Y182" s="869">
        <f>SUM(T182:X182)</f>
        <v>0</v>
      </c>
      <c r="Z182" s="872">
        <f t="shared" si="176"/>
        <v>0</v>
      </c>
      <c r="AA182" s="1435"/>
      <c r="AB182" s="876"/>
      <c r="AC182" s="876"/>
      <c r="AD182" s="877"/>
      <c r="AE182" s="1431"/>
    </row>
    <row r="183" spans="1:31" s="1" customFormat="1" ht="24.95" customHeight="1" x14ac:dyDescent="0.15">
      <c r="A183" s="1430">
        <v>8</v>
      </c>
      <c r="B183" s="1436" t="s">
        <v>232</v>
      </c>
      <c r="C183" s="1430" t="s">
        <v>200</v>
      </c>
      <c r="D183" s="1432">
        <v>11</v>
      </c>
      <c r="E183" s="1432">
        <f>F183+F184</f>
        <v>12</v>
      </c>
      <c r="F183" s="854">
        <v>10</v>
      </c>
      <c r="G183" s="855" t="s">
        <v>173</v>
      </c>
      <c r="H183" s="878"/>
      <c r="I183" s="865">
        <f t="shared" si="181"/>
        <v>0</v>
      </c>
      <c r="J183" s="866"/>
      <c r="K183" s="867"/>
      <c r="L183" s="868">
        <f t="shared" si="172"/>
        <v>0</v>
      </c>
      <c r="M183" s="869">
        <f t="shared" si="173"/>
        <v>0</v>
      </c>
      <c r="N183" s="869"/>
      <c r="O183" s="869"/>
      <c r="P183" s="869">
        <f t="shared" si="167"/>
        <v>0</v>
      </c>
      <c r="Q183" s="869">
        <f>100000*12</f>
        <v>1200000</v>
      </c>
      <c r="R183" s="870">
        <f t="shared" si="174"/>
        <v>1200000</v>
      </c>
      <c r="S183" s="871">
        <f t="shared" si="168"/>
        <v>100000</v>
      </c>
      <c r="T183" s="871">
        <f t="shared" si="177"/>
        <v>54000</v>
      </c>
      <c r="U183" s="871">
        <f t="shared" si="169"/>
        <v>42540</v>
      </c>
      <c r="V183" s="871">
        <f t="shared" si="170"/>
        <v>5450</v>
      </c>
      <c r="W183" s="871">
        <f t="shared" si="178"/>
        <v>12600</v>
      </c>
      <c r="X183" s="871">
        <f t="shared" si="179"/>
        <v>9600</v>
      </c>
      <c r="Y183" s="869">
        <f t="shared" si="180"/>
        <v>124190</v>
      </c>
      <c r="Z183" s="872">
        <f t="shared" si="176"/>
        <v>224190</v>
      </c>
      <c r="AA183" s="879">
        <f>SUM(Z183,Z184,R183,R184,I183,I184)</f>
        <v>1424190</v>
      </c>
      <c r="AB183" s="873"/>
      <c r="AC183" s="873"/>
      <c r="AD183" s="874"/>
      <c r="AE183" s="1430"/>
    </row>
    <row r="184" spans="1:31" s="1" customFormat="1" ht="24.95" customHeight="1" x14ac:dyDescent="0.15">
      <c r="A184" s="1431"/>
      <c r="B184" s="1431"/>
      <c r="C184" s="1431"/>
      <c r="D184" s="1433"/>
      <c r="E184" s="1433"/>
      <c r="F184" s="859">
        <v>2</v>
      </c>
      <c r="G184" s="855">
        <f>G183+1</f>
        <v>17</v>
      </c>
      <c r="H184" s="878"/>
      <c r="I184" s="865">
        <f t="shared" si="181"/>
        <v>0</v>
      </c>
      <c r="J184" s="866">
        <f>(H184*60%)*2</f>
        <v>0</v>
      </c>
      <c r="K184" s="867"/>
      <c r="L184" s="875">
        <f t="shared" si="172"/>
        <v>0</v>
      </c>
      <c r="M184" s="869">
        <f t="shared" si="173"/>
        <v>0</v>
      </c>
      <c r="N184" s="869"/>
      <c r="O184" s="869"/>
      <c r="P184" s="869">
        <f t="shared" si="167"/>
        <v>0</v>
      </c>
      <c r="Q184" s="869"/>
      <c r="R184" s="870">
        <f t="shared" si="174"/>
        <v>0</v>
      </c>
      <c r="S184" s="871">
        <f t="shared" si="168"/>
        <v>0</v>
      </c>
      <c r="T184" s="871">
        <f t="shared" si="177"/>
        <v>0</v>
      </c>
      <c r="U184" s="871">
        <f t="shared" si="169"/>
        <v>0</v>
      </c>
      <c r="V184" s="871">
        <f t="shared" si="170"/>
        <v>0</v>
      </c>
      <c r="W184" s="871">
        <f t="shared" si="178"/>
        <v>0</v>
      </c>
      <c r="X184" s="871">
        <f t="shared" si="179"/>
        <v>0</v>
      </c>
      <c r="Y184" s="869">
        <f t="shared" si="180"/>
        <v>0</v>
      </c>
      <c r="Z184" s="872">
        <f t="shared" si="176"/>
        <v>0</v>
      </c>
      <c r="AA184" s="880"/>
      <c r="AB184" s="876"/>
      <c r="AC184" s="876"/>
      <c r="AD184" s="877"/>
      <c r="AE184" s="1431"/>
    </row>
    <row r="185" spans="1:31" s="1" customFormat="1" ht="24.95" customHeight="1" x14ac:dyDescent="0.15">
      <c r="A185" s="1430">
        <v>9</v>
      </c>
      <c r="B185" s="1436" t="s">
        <v>232</v>
      </c>
      <c r="C185" s="1430" t="s">
        <v>201</v>
      </c>
      <c r="D185" s="1432">
        <v>5</v>
      </c>
      <c r="E185" s="1432">
        <f>F185+F186</f>
        <v>12</v>
      </c>
      <c r="F185" s="854">
        <v>4</v>
      </c>
      <c r="G185" s="855" t="s">
        <v>155</v>
      </c>
      <c r="H185" s="878"/>
      <c r="I185" s="865">
        <f t="shared" ref="I185:I190" si="182">H185*F185</f>
        <v>0</v>
      </c>
      <c r="J185" s="866">
        <f>H185*60%</f>
        <v>0</v>
      </c>
      <c r="K185" s="867"/>
      <c r="L185" s="868">
        <f t="shared" si="172"/>
        <v>0</v>
      </c>
      <c r="M185" s="869">
        <f t="shared" si="173"/>
        <v>0</v>
      </c>
      <c r="N185" s="869"/>
      <c r="O185" s="869"/>
      <c r="P185" s="869">
        <f t="shared" si="167"/>
        <v>0</v>
      </c>
      <c r="Q185" s="869">
        <f>100000*12</f>
        <v>1200000</v>
      </c>
      <c r="R185" s="870">
        <f t="shared" si="174"/>
        <v>1200000</v>
      </c>
      <c r="S185" s="871">
        <f t="shared" si="168"/>
        <v>100000</v>
      </c>
      <c r="T185" s="871">
        <f t="shared" si="177"/>
        <v>54000</v>
      </c>
      <c r="U185" s="871">
        <f t="shared" si="169"/>
        <v>42540</v>
      </c>
      <c r="V185" s="871">
        <f t="shared" si="170"/>
        <v>5450</v>
      </c>
      <c r="W185" s="871">
        <f t="shared" si="178"/>
        <v>12600</v>
      </c>
      <c r="X185" s="871">
        <f t="shared" si="179"/>
        <v>9600</v>
      </c>
      <c r="Y185" s="869">
        <f t="shared" ref="Y185:Y190" si="183">SUM(T185:X185)</f>
        <v>124190</v>
      </c>
      <c r="Z185" s="872">
        <f t="shared" si="176"/>
        <v>224190</v>
      </c>
      <c r="AA185" s="1434">
        <f>SUM(Z185,Z186,R185,R186,I185,I186)</f>
        <v>1424190</v>
      </c>
      <c r="AB185" s="873"/>
      <c r="AC185" s="873"/>
      <c r="AD185" s="874"/>
      <c r="AE185" s="1430"/>
    </row>
    <row r="186" spans="1:31" s="1" customFormat="1" ht="24.95" customHeight="1" x14ac:dyDescent="0.15">
      <c r="A186" s="1431"/>
      <c r="B186" s="1431"/>
      <c r="C186" s="1431"/>
      <c r="D186" s="1433"/>
      <c r="E186" s="1433"/>
      <c r="F186" s="859">
        <v>8</v>
      </c>
      <c r="G186" s="855">
        <f>G185+1</f>
        <v>14</v>
      </c>
      <c r="H186" s="878"/>
      <c r="I186" s="865">
        <f t="shared" si="182"/>
        <v>0</v>
      </c>
      <c r="J186" s="866">
        <f>H186*60%</f>
        <v>0</v>
      </c>
      <c r="K186" s="867"/>
      <c r="L186" s="875">
        <f t="shared" si="172"/>
        <v>0</v>
      </c>
      <c r="M186" s="869">
        <f t="shared" si="173"/>
        <v>0</v>
      </c>
      <c r="N186" s="869"/>
      <c r="O186" s="869"/>
      <c r="P186" s="869">
        <f t="shared" si="167"/>
        <v>0</v>
      </c>
      <c r="Q186" s="869"/>
      <c r="R186" s="870">
        <f t="shared" si="174"/>
        <v>0</v>
      </c>
      <c r="S186" s="871">
        <f t="shared" si="168"/>
        <v>0</v>
      </c>
      <c r="T186" s="871">
        <f t="shared" si="177"/>
        <v>0</v>
      </c>
      <c r="U186" s="871">
        <f t="shared" si="169"/>
        <v>0</v>
      </c>
      <c r="V186" s="871">
        <f t="shared" si="170"/>
        <v>0</v>
      </c>
      <c r="W186" s="871">
        <f t="shared" si="178"/>
        <v>0</v>
      </c>
      <c r="X186" s="871">
        <f t="shared" si="179"/>
        <v>0</v>
      </c>
      <c r="Y186" s="869">
        <f t="shared" si="183"/>
        <v>0</v>
      </c>
      <c r="Z186" s="872">
        <f t="shared" si="176"/>
        <v>0</v>
      </c>
      <c r="AA186" s="1435"/>
      <c r="AB186" s="876"/>
      <c r="AC186" s="876"/>
      <c r="AD186" s="877"/>
      <c r="AE186" s="1431"/>
    </row>
    <row r="187" spans="1:31" s="1" customFormat="1" ht="24.95" customHeight="1" x14ac:dyDescent="0.15">
      <c r="A187" s="1430">
        <v>10</v>
      </c>
      <c r="B187" s="1436" t="s">
        <v>232</v>
      </c>
      <c r="C187" s="1430" t="s">
        <v>202</v>
      </c>
      <c r="D187" s="1432">
        <v>4</v>
      </c>
      <c r="E187" s="1432">
        <f>F187+F188</f>
        <v>12</v>
      </c>
      <c r="F187" s="854">
        <v>3</v>
      </c>
      <c r="G187" s="855" t="s">
        <v>970</v>
      </c>
      <c r="H187" s="878"/>
      <c r="I187" s="865">
        <f t="shared" si="182"/>
        <v>0</v>
      </c>
      <c r="J187" s="866">
        <f>H187*60%</f>
        <v>0</v>
      </c>
      <c r="K187" s="867"/>
      <c r="L187" s="868">
        <f t="shared" si="172"/>
        <v>0</v>
      </c>
      <c r="M187" s="869">
        <f t="shared" si="173"/>
        <v>0</v>
      </c>
      <c r="N187" s="869"/>
      <c r="O187" s="869"/>
      <c r="P187" s="869">
        <f t="shared" si="167"/>
        <v>0</v>
      </c>
      <c r="Q187" s="869">
        <f>100000*12</f>
        <v>1200000</v>
      </c>
      <c r="R187" s="870">
        <f t="shared" si="174"/>
        <v>1200000</v>
      </c>
      <c r="S187" s="871">
        <f t="shared" si="168"/>
        <v>100000</v>
      </c>
      <c r="T187" s="871">
        <f t="shared" si="177"/>
        <v>54000</v>
      </c>
      <c r="U187" s="871">
        <f t="shared" si="169"/>
        <v>42540</v>
      </c>
      <c r="V187" s="871">
        <f t="shared" si="170"/>
        <v>5450</v>
      </c>
      <c r="W187" s="871">
        <f t="shared" si="178"/>
        <v>12600</v>
      </c>
      <c r="X187" s="871">
        <f t="shared" si="179"/>
        <v>9600</v>
      </c>
      <c r="Y187" s="869">
        <f t="shared" si="183"/>
        <v>124190</v>
      </c>
      <c r="Z187" s="872">
        <f t="shared" si="176"/>
        <v>224190</v>
      </c>
      <c r="AA187" s="1434">
        <f>SUM(Z187,Z188,R187,R188,I187,I188)</f>
        <v>1424190</v>
      </c>
      <c r="AB187" s="873"/>
      <c r="AC187" s="873"/>
      <c r="AD187" s="874"/>
      <c r="AE187" s="1430"/>
    </row>
    <row r="188" spans="1:31" s="1" customFormat="1" ht="24.95" customHeight="1" x14ac:dyDescent="0.15">
      <c r="A188" s="1431"/>
      <c r="B188" s="1431"/>
      <c r="C188" s="1431"/>
      <c r="D188" s="1433"/>
      <c r="E188" s="1433"/>
      <c r="F188" s="859">
        <v>9</v>
      </c>
      <c r="G188" s="855">
        <f>G187+1</f>
        <v>12</v>
      </c>
      <c r="H188" s="878"/>
      <c r="I188" s="865">
        <f t="shared" si="182"/>
        <v>0</v>
      </c>
      <c r="J188" s="866">
        <f>H188*60%</f>
        <v>0</v>
      </c>
      <c r="K188" s="867"/>
      <c r="L188" s="875">
        <f t="shared" si="172"/>
        <v>0</v>
      </c>
      <c r="M188" s="869">
        <f t="shared" si="173"/>
        <v>0</v>
      </c>
      <c r="N188" s="869"/>
      <c r="O188" s="869"/>
      <c r="P188" s="869">
        <f t="shared" si="167"/>
        <v>0</v>
      </c>
      <c r="Q188" s="869"/>
      <c r="R188" s="870">
        <f t="shared" si="174"/>
        <v>0</v>
      </c>
      <c r="S188" s="871">
        <f t="shared" si="168"/>
        <v>0</v>
      </c>
      <c r="T188" s="871">
        <f t="shared" si="177"/>
        <v>0</v>
      </c>
      <c r="U188" s="871">
        <f t="shared" si="169"/>
        <v>0</v>
      </c>
      <c r="V188" s="871">
        <f t="shared" si="170"/>
        <v>0</v>
      </c>
      <c r="W188" s="871">
        <f t="shared" si="178"/>
        <v>0</v>
      </c>
      <c r="X188" s="871">
        <f t="shared" si="179"/>
        <v>0</v>
      </c>
      <c r="Y188" s="869">
        <f t="shared" si="183"/>
        <v>0</v>
      </c>
      <c r="Z188" s="872">
        <f t="shared" si="176"/>
        <v>0</v>
      </c>
      <c r="AA188" s="1435"/>
      <c r="AB188" s="876"/>
      <c r="AC188" s="876"/>
      <c r="AD188" s="877"/>
      <c r="AE188" s="1431"/>
    </row>
    <row r="189" spans="1:31" s="1" customFormat="1" ht="24.95" customHeight="1" x14ac:dyDescent="0.15">
      <c r="A189" s="1430">
        <v>11</v>
      </c>
      <c r="B189" s="1451" t="s">
        <v>1183</v>
      </c>
      <c r="C189" s="1451" t="s">
        <v>1182</v>
      </c>
      <c r="D189" s="1432">
        <v>9</v>
      </c>
      <c r="E189" s="1432">
        <f>F189+F190</f>
        <v>12</v>
      </c>
      <c r="F189" s="854">
        <v>8</v>
      </c>
      <c r="G189" s="855" t="s">
        <v>1166</v>
      </c>
      <c r="H189" s="864"/>
      <c r="I189" s="865">
        <f t="shared" si="182"/>
        <v>0</v>
      </c>
      <c r="J189" s="866"/>
      <c r="K189" s="867"/>
      <c r="L189" s="868"/>
      <c r="M189" s="869">
        <f>(L189*20)*5</f>
        <v>0</v>
      </c>
      <c r="N189" s="869"/>
      <c r="O189" s="869"/>
      <c r="P189" s="869"/>
      <c r="Q189" s="869">
        <f>100000*12</f>
        <v>1200000</v>
      </c>
      <c r="R189" s="870">
        <f t="shared" si="174"/>
        <v>1200000</v>
      </c>
      <c r="S189" s="871">
        <f t="shared" si="168"/>
        <v>100000</v>
      </c>
      <c r="T189" s="871">
        <f t="shared" si="177"/>
        <v>54000</v>
      </c>
      <c r="U189" s="871">
        <f t="shared" si="169"/>
        <v>42540</v>
      </c>
      <c r="V189" s="871">
        <f t="shared" si="170"/>
        <v>5450</v>
      </c>
      <c r="W189" s="871">
        <f t="shared" si="178"/>
        <v>12600</v>
      </c>
      <c r="X189" s="871">
        <f t="shared" si="179"/>
        <v>9600</v>
      </c>
      <c r="Y189" s="869">
        <f t="shared" si="183"/>
        <v>124190</v>
      </c>
      <c r="Z189" s="872">
        <f t="shared" si="176"/>
        <v>224190</v>
      </c>
      <c r="AA189" s="1434">
        <f>SUM(Z189,Z190,R189,R190,I189,I190)</f>
        <v>1424190</v>
      </c>
      <c r="AB189" s="873"/>
      <c r="AC189" s="873"/>
      <c r="AD189" s="874"/>
      <c r="AE189" s="1430"/>
    </row>
    <row r="190" spans="1:31" s="1" customFormat="1" ht="24.95" customHeight="1" x14ac:dyDescent="0.15">
      <c r="A190" s="1431"/>
      <c r="B190" s="1433"/>
      <c r="C190" s="1433"/>
      <c r="D190" s="1433"/>
      <c r="E190" s="1433"/>
      <c r="F190" s="859">
        <v>4</v>
      </c>
      <c r="G190" s="855">
        <f>G189+1</f>
        <v>14</v>
      </c>
      <c r="H190" s="864"/>
      <c r="I190" s="865">
        <f t="shared" si="182"/>
        <v>0</v>
      </c>
      <c r="J190" s="866">
        <f>H190*60%</f>
        <v>0</v>
      </c>
      <c r="K190" s="867"/>
      <c r="L190" s="868">
        <f>ROUND(H190*1/209*1.5,-1)</f>
        <v>0</v>
      </c>
      <c r="M190" s="869">
        <f>(L190*20)*7</f>
        <v>0</v>
      </c>
      <c r="N190" s="869"/>
      <c r="O190" s="869"/>
      <c r="P190" s="869"/>
      <c r="Q190" s="869"/>
      <c r="R190" s="870">
        <f t="shared" si="174"/>
        <v>0</v>
      </c>
      <c r="S190" s="871">
        <f t="shared" si="168"/>
        <v>0</v>
      </c>
      <c r="T190" s="871">
        <f t="shared" si="177"/>
        <v>0</v>
      </c>
      <c r="U190" s="871">
        <f t="shared" si="169"/>
        <v>0</v>
      </c>
      <c r="V190" s="871">
        <f t="shared" si="170"/>
        <v>0</v>
      </c>
      <c r="W190" s="871">
        <f t="shared" si="178"/>
        <v>0</v>
      </c>
      <c r="X190" s="871">
        <f t="shared" si="179"/>
        <v>0</v>
      </c>
      <c r="Y190" s="869">
        <f t="shared" si="183"/>
        <v>0</v>
      </c>
      <c r="Z190" s="872">
        <f t="shared" si="176"/>
        <v>0</v>
      </c>
      <c r="AA190" s="1435"/>
      <c r="AB190" s="876"/>
      <c r="AC190" s="876"/>
      <c r="AD190" s="877"/>
      <c r="AE190" s="1431"/>
    </row>
    <row r="191" spans="1:31" s="96" customFormat="1" ht="35.1" customHeight="1" x14ac:dyDescent="0.15">
      <c r="A191" s="1439" t="s">
        <v>930</v>
      </c>
      <c r="B191" s="1440"/>
      <c r="C191" s="1440"/>
      <c r="D191" s="1440"/>
      <c r="E191" s="1440"/>
      <c r="F191" s="1440"/>
      <c r="G191" s="1440"/>
      <c r="H191" s="1441"/>
      <c r="I191" s="1099">
        <f>SUM(I187:I188)</f>
        <v>0</v>
      </c>
      <c r="J191" s="1099">
        <f>SUM(J185:J188)</f>
        <v>0</v>
      </c>
      <c r="K191" s="1099">
        <f>SUM(K185:K188)</f>
        <v>0</v>
      </c>
      <c r="L191" s="1099">
        <f>SUM(L185:L188)</f>
        <v>0</v>
      </c>
      <c r="M191" s="1099">
        <f>SUM(M185:M188)</f>
        <v>0</v>
      </c>
      <c r="N191" s="1099"/>
      <c r="O191" s="1099"/>
      <c r="P191" s="1099">
        <f>SUM(P185:P188)</f>
        <v>0</v>
      </c>
      <c r="Q191" s="1099">
        <f>SUM(Q167:Q190)</f>
        <v>19200000</v>
      </c>
      <c r="R191" s="1099">
        <f>SUM(R167:R190)</f>
        <v>19200000</v>
      </c>
      <c r="S191" s="1099">
        <f>SUM(S167:S190)</f>
        <v>1600000</v>
      </c>
      <c r="T191" s="1099">
        <f t="shared" ref="T191:Y191" si="184">SUM(T167:T190)</f>
        <v>702000</v>
      </c>
      <c r="U191" s="1099">
        <f t="shared" si="184"/>
        <v>680640</v>
      </c>
      <c r="V191" s="1099">
        <f t="shared" si="184"/>
        <v>87210</v>
      </c>
      <c r="W191" s="1099">
        <f t="shared" si="184"/>
        <v>163800</v>
      </c>
      <c r="X191" s="1099">
        <f t="shared" si="184"/>
        <v>124800</v>
      </c>
      <c r="Y191" s="1099">
        <f t="shared" si="184"/>
        <v>1758450</v>
      </c>
      <c r="Z191" s="1099">
        <f>SUM(Z167:Z190)</f>
        <v>3358450</v>
      </c>
      <c r="AA191" s="1099">
        <f>SUM(AA167:AA190)</f>
        <v>22558450</v>
      </c>
      <c r="AB191" s="1099">
        <f>SUM(AB185:AB188)</f>
        <v>0</v>
      </c>
      <c r="AC191" s="1099">
        <f>SUM(AC185:AC188)</f>
        <v>0</v>
      </c>
      <c r="AD191" s="1099">
        <f>SUM(AD185:AD188)</f>
        <v>0</v>
      </c>
      <c r="AE191" s="1099">
        <f>SUM(AE185:AE188)</f>
        <v>0</v>
      </c>
    </row>
    <row r="192" spans="1:31" s="1" customFormat="1" x14ac:dyDescent="0.15">
      <c r="H192" s="16"/>
    </row>
    <row r="193" spans="1:31" s="1" customFormat="1" ht="30" customHeight="1" x14ac:dyDescent="0.15">
      <c r="A193" s="1452" t="s">
        <v>1089</v>
      </c>
      <c r="B193" s="1452"/>
      <c r="C193" s="1452"/>
      <c r="D193" s="1452"/>
      <c r="E193" s="1452"/>
      <c r="F193" s="1452"/>
      <c r="G193" s="1452"/>
      <c r="H193" s="1452"/>
      <c r="I193" s="1452"/>
      <c r="J193" s="1452"/>
      <c r="K193" s="1452"/>
      <c r="L193" s="1452"/>
      <c r="M193" s="1452"/>
      <c r="N193" s="1452"/>
      <c r="O193" s="1452"/>
      <c r="P193" s="1452"/>
      <c r="Q193" s="1452"/>
      <c r="R193" s="1452"/>
      <c r="S193" s="1452"/>
      <c r="T193" s="1452"/>
      <c r="U193" s="1452"/>
      <c r="V193" s="1452"/>
      <c r="W193" s="1452"/>
      <c r="X193" s="1452"/>
      <c r="Y193" s="1452"/>
      <c r="Z193" s="1452"/>
      <c r="AA193" s="1452"/>
      <c r="AB193" s="1452"/>
      <c r="AC193" s="1452"/>
      <c r="AD193" s="1452"/>
      <c r="AE193" s="1452"/>
    </row>
    <row r="194" spans="1:31" s="1" customFormat="1" ht="18.75" customHeight="1" x14ac:dyDescent="0.15">
      <c r="A194" s="1453" t="s">
        <v>979</v>
      </c>
      <c r="B194" s="1454"/>
      <c r="C194" s="1454"/>
      <c r="D194" s="4"/>
      <c r="E194" s="4"/>
      <c r="F194" s="4"/>
      <c r="G194" s="4"/>
      <c r="H194" s="1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</row>
    <row r="195" spans="1:31" s="1" customFormat="1" ht="20.25" customHeight="1" x14ac:dyDescent="0.15">
      <c r="A195" s="1446" t="s">
        <v>47</v>
      </c>
      <c r="B195" s="1446" t="s">
        <v>48</v>
      </c>
      <c r="C195" s="1446" t="s">
        <v>72</v>
      </c>
      <c r="D195" s="1446" t="s">
        <v>169</v>
      </c>
      <c r="E195" s="848"/>
      <c r="F195" s="848"/>
      <c r="G195" s="1446" t="s">
        <v>49</v>
      </c>
      <c r="H195" s="1444" t="s">
        <v>165</v>
      </c>
      <c r="I195" s="1444" t="s">
        <v>74</v>
      </c>
      <c r="J195" s="1448" t="s">
        <v>62</v>
      </c>
      <c r="K195" s="1449"/>
      <c r="L195" s="1449"/>
      <c r="M195" s="1449"/>
      <c r="N195" s="1449"/>
      <c r="O195" s="1449"/>
      <c r="P195" s="1449"/>
      <c r="Q195" s="1449"/>
      <c r="R195" s="1450"/>
      <c r="S195" s="1442" t="s">
        <v>53</v>
      </c>
      <c r="T195" s="1442" t="s">
        <v>160</v>
      </c>
      <c r="U195" s="1442" t="s">
        <v>161</v>
      </c>
      <c r="V195" s="1442" t="s">
        <v>164</v>
      </c>
      <c r="W195" s="1442" t="s">
        <v>162</v>
      </c>
      <c r="X195" s="1442" t="s">
        <v>163</v>
      </c>
      <c r="Y195" s="1442" t="s">
        <v>230</v>
      </c>
      <c r="Z195" s="1442" t="s">
        <v>170</v>
      </c>
      <c r="AA195" s="1444" t="s">
        <v>71</v>
      </c>
      <c r="AB195" s="1448" t="s">
        <v>68</v>
      </c>
      <c r="AC195" s="1449"/>
      <c r="AD195" s="1450"/>
      <c r="AE195" s="1444" t="s">
        <v>50</v>
      </c>
    </row>
    <row r="196" spans="1:31" s="1" customFormat="1" ht="24.75" customHeight="1" x14ac:dyDescent="0.15">
      <c r="A196" s="1447"/>
      <c r="B196" s="1447"/>
      <c r="C196" s="1447"/>
      <c r="D196" s="1447"/>
      <c r="E196" s="849"/>
      <c r="F196" s="849"/>
      <c r="G196" s="1447"/>
      <c r="H196" s="1445"/>
      <c r="I196" s="1445"/>
      <c r="J196" s="850" t="s">
        <v>441</v>
      </c>
      <c r="K196" s="850" t="s">
        <v>157</v>
      </c>
      <c r="L196" s="850" t="s">
        <v>168</v>
      </c>
      <c r="M196" s="850" t="s">
        <v>158</v>
      </c>
      <c r="N196" s="850" t="str">
        <f>N4</f>
        <v>휴일근로시간</v>
      </c>
      <c r="O196" s="850" t="str">
        <f>O4</f>
        <v>휴일근로수당</v>
      </c>
      <c r="P196" s="851" t="s">
        <v>159</v>
      </c>
      <c r="Q196" s="851" t="s">
        <v>1145</v>
      </c>
      <c r="R196" s="850" t="s">
        <v>63</v>
      </c>
      <c r="S196" s="1443"/>
      <c r="T196" s="1443"/>
      <c r="U196" s="1443"/>
      <c r="V196" s="1443"/>
      <c r="W196" s="1443"/>
      <c r="X196" s="1443"/>
      <c r="Y196" s="1443"/>
      <c r="Z196" s="1443"/>
      <c r="AA196" s="1445"/>
      <c r="AB196" s="852" t="s">
        <v>228</v>
      </c>
      <c r="AC196" s="852" t="s">
        <v>229</v>
      </c>
      <c r="AD196" s="853" t="s">
        <v>69</v>
      </c>
      <c r="AE196" s="1445"/>
    </row>
    <row r="197" spans="1:31" s="1" customFormat="1" ht="24.95" customHeight="1" x14ac:dyDescent="0.15">
      <c r="A197" s="1430">
        <v>1</v>
      </c>
      <c r="B197" s="1436" t="s">
        <v>232</v>
      </c>
      <c r="C197" s="1430" t="s">
        <v>194</v>
      </c>
      <c r="D197" s="1432">
        <v>2</v>
      </c>
      <c r="E197" s="1432">
        <f>F197+F198</f>
        <v>12</v>
      </c>
      <c r="F197" s="854">
        <v>1</v>
      </c>
      <c r="G197" s="855" t="s">
        <v>1180</v>
      </c>
      <c r="H197" s="878"/>
      <c r="I197" s="865">
        <f t="shared" ref="I197:I205" si="185">H197*F197</f>
        <v>0</v>
      </c>
      <c r="J197" s="866"/>
      <c r="K197" s="867"/>
      <c r="L197" s="868">
        <f t="shared" ref="L197:L204" si="186">ROUND(H197*1/209*1.5,-1)</f>
        <v>0</v>
      </c>
      <c r="M197" s="869">
        <f t="shared" ref="M197:M204" si="187">(L197*20)*F197</f>
        <v>0</v>
      </c>
      <c r="N197" s="869"/>
      <c r="O197" s="869"/>
      <c r="P197" s="869">
        <f t="shared" ref="P197:P204" si="188">(L197*5)*F197</f>
        <v>0</v>
      </c>
      <c r="Q197" s="869">
        <f>200000*12</f>
        <v>2400000</v>
      </c>
      <c r="R197" s="870">
        <f>SUM(J197,K197,M197,P197,Q197)</f>
        <v>2400000</v>
      </c>
      <c r="S197" s="871">
        <f>ROUNDUP((I197+J197+K197+M197+P197+Q197)*1/12,-1)</f>
        <v>200000</v>
      </c>
      <c r="T197" s="871">
        <f t="shared" ref="T197:T204" si="189">ROUND((R197)*4.5%,-1)</f>
        <v>108000</v>
      </c>
      <c r="U197" s="871">
        <f>ROUNDUP((R197)*3.545%,-1)</f>
        <v>85080</v>
      </c>
      <c r="V197" s="871">
        <f>ROUNDUP(U197*12.81%,-1)</f>
        <v>10900</v>
      </c>
      <c r="W197" s="871">
        <f>ROUND((R197)*1.05%,-1)</f>
        <v>25200</v>
      </c>
      <c r="X197" s="871">
        <f>ROUND((R197)*0.8%,-1)</f>
        <v>19200</v>
      </c>
      <c r="Y197" s="869">
        <f>SUM(T197:X197)</f>
        <v>248380</v>
      </c>
      <c r="Z197" s="872">
        <f t="shared" ref="Z197:Z204" si="190">SUM(S197,Y197)</f>
        <v>448380</v>
      </c>
      <c r="AA197" s="1434">
        <f>SUM(Z197,Z198,R197,R198,I197,I198)</f>
        <v>2848380</v>
      </c>
      <c r="AB197" s="873"/>
      <c r="AC197" s="873"/>
      <c r="AD197" s="874">
        <f>AC197+AB197</f>
        <v>0</v>
      </c>
      <c r="AE197" s="1430"/>
    </row>
    <row r="198" spans="1:31" s="1" customFormat="1" ht="24.95" customHeight="1" x14ac:dyDescent="0.15">
      <c r="A198" s="1431"/>
      <c r="B198" s="1431"/>
      <c r="C198" s="1431"/>
      <c r="D198" s="1433"/>
      <c r="E198" s="1433"/>
      <c r="F198" s="859">
        <v>11</v>
      </c>
      <c r="G198" s="855">
        <f>G197+1</f>
        <v>16</v>
      </c>
      <c r="H198" s="878"/>
      <c r="I198" s="865">
        <f t="shared" si="185"/>
        <v>0</v>
      </c>
      <c r="J198" s="866">
        <f>(H198*60%)*2</f>
        <v>0</v>
      </c>
      <c r="K198" s="867"/>
      <c r="L198" s="875">
        <f t="shared" si="186"/>
        <v>0</v>
      </c>
      <c r="M198" s="869">
        <f t="shared" si="187"/>
        <v>0</v>
      </c>
      <c r="N198" s="869"/>
      <c r="O198" s="869"/>
      <c r="P198" s="869">
        <f t="shared" si="188"/>
        <v>0</v>
      </c>
      <c r="Q198" s="869"/>
      <c r="R198" s="870">
        <f t="shared" ref="R198:R204" si="191">SUM(J198,K198,M198,P198,Q198)</f>
        <v>0</v>
      </c>
      <c r="S198" s="871">
        <f>ROUNDUP((I198+J198+K198+M198+P198+Q198)*1/12,-1)</f>
        <v>0</v>
      </c>
      <c r="T198" s="871">
        <f t="shared" si="189"/>
        <v>0</v>
      </c>
      <c r="U198" s="871">
        <f t="shared" ref="U198:U203" si="192">ROUNDUP((R198)*3.545%,-1)</f>
        <v>0</v>
      </c>
      <c r="V198" s="871">
        <f t="shared" ref="V198:V203" si="193">ROUNDUP(U198*12.81%,-1)</f>
        <v>0</v>
      </c>
      <c r="W198" s="871">
        <f>ROUND((R198)*1.05%,-1)</f>
        <v>0</v>
      </c>
      <c r="X198" s="871">
        <f>ROUND((R198)*0.8%,-1)</f>
        <v>0</v>
      </c>
      <c r="Y198" s="869">
        <f>SUM(T198:X198)</f>
        <v>0</v>
      </c>
      <c r="Z198" s="872">
        <f t="shared" si="190"/>
        <v>0</v>
      </c>
      <c r="AA198" s="1435"/>
      <c r="AB198" s="876"/>
      <c r="AC198" s="876"/>
      <c r="AD198" s="877"/>
      <c r="AE198" s="1431"/>
    </row>
    <row r="199" spans="1:31" s="1" customFormat="1" ht="24.95" customHeight="1" x14ac:dyDescent="0.15">
      <c r="A199" s="1430">
        <v>2</v>
      </c>
      <c r="B199" s="1436" t="s">
        <v>232</v>
      </c>
      <c r="C199" s="1430" t="s">
        <v>200</v>
      </c>
      <c r="D199" s="1432">
        <v>11</v>
      </c>
      <c r="E199" s="1432">
        <f>F199+F200</f>
        <v>12</v>
      </c>
      <c r="F199" s="854">
        <v>10</v>
      </c>
      <c r="G199" s="855" t="s">
        <v>1181</v>
      </c>
      <c r="H199" s="878"/>
      <c r="I199" s="865">
        <f t="shared" si="185"/>
        <v>0</v>
      </c>
      <c r="J199" s="866"/>
      <c r="K199" s="867"/>
      <c r="L199" s="868">
        <f t="shared" si="186"/>
        <v>0</v>
      </c>
      <c r="M199" s="869">
        <f t="shared" si="187"/>
        <v>0</v>
      </c>
      <c r="N199" s="869"/>
      <c r="O199" s="869"/>
      <c r="P199" s="869">
        <f t="shared" si="188"/>
        <v>0</v>
      </c>
      <c r="Q199" s="869">
        <f t="shared" ref="Q199" si="194">200000*12</f>
        <v>2400000</v>
      </c>
      <c r="R199" s="870">
        <f t="shared" si="191"/>
        <v>2400000</v>
      </c>
      <c r="S199" s="871">
        <f t="shared" ref="S199:S204" si="195">ROUNDUP((I199+J199+K199+M199+P199+Q199)*1/12,-1)</f>
        <v>200000</v>
      </c>
      <c r="T199" s="871">
        <f t="shared" si="189"/>
        <v>108000</v>
      </c>
      <c r="U199" s="871">
        <f t="shared" si="192"/>
        <v>85080</v>
      </c>
      <c r="V199" s="871">
        <f t="shared" si="193"/>
        <v>10900</v>
      </c>
      <c r="W199" s="871">
        <f t="shared" ref="W199:W204" si="196">ROUND((R199)*1.05%,-1)</f>
        <v>25200</v>
      </c>
      <c r="X199" s="871">
        <f t="shared" ref="X199:X204" si="197">ROUND((R199)*0.8%,-1)</f>
        <v>19200</v>
      </c>
      <c r="Y199" s="869">
        <f t="shared" ref="Y199:Y200" si="198">SUM(T199:X199)</f>
        <v>248380</v>
      </c>
      <c r="Z199" s="872">
        <f t="shared" si="190"/>
        <v>448380</v>
      </c>
      <c r="AA199" s="1153">
        <f>SUM(Z199,Z200,R199,R200,I199,I200)</f>
        <v>2848380</v>
      </c>
      <c r="AB199" s="873"/>
      <c r="AC199" s="873"/>
      <c r="AD199" s="874"/>
      <c r="AE199" s="1430"/>
    </row>
    <row r="200" spans="1:31" s="1" customFormat="1" ht="24.95" customHeight="1" x14ac:dyDescent="0.15">
      <c r="A200" s="1431"/>
      <c r="B200" s="1431"/>
      <c r="C200" s="1431"/>
      <c r="D200" s="1433"/>
      <c r="E200" s="1433"/>
      <c r="F200" s="859">
        <v>2</v>
      </c>
      <c r="G200" s="855">
        <f>G199+1</f>
        <v>18</v>
      </c>
      <c r="H200" s="878"/>
      <c r="I200" s="865">
        <f t="shared" si="185"/>
        <v>0</v>
      </c>
      <c r="J200" s="866">
        <f>(H200*60%)*2</f>
        <v>0</v>
      </c>
      <c r="K200" s="867"/>
      <c r="L200" s="875">
        <f t="shared" si="186"/>
        <v>0</v>
      </c>
      <c r="M200" s="869">
        <f t="shared" si="187"/>
        <v>0</v>
      </c>
      <c r="N200" s="869"/>
      <c r="O200" s="869"/>
      <c r="P200" s="869">
        <f t="shared" si="188"/>
        <v>0</v>
      </c>
      <c r="Q200" s="869"/>
      <c r="R200" s="870">
        <f t="shared" si="191"/>
        <v>0</v>
      </c>
      <c r="S200" s="871">
        <f t="shared" si="195"/>
        <v>0</v>
      </c>
      <c r="T200" s="871">
        <f t="shared" si="189"/>
        <v>0</v>
      </c>
      <c r="U200" s="871">
        <f t="shared" si="192"/>
        <v>0</v>
      </c>
      <c r="V200" s="871">
        <f t="shared" si="193"/>
        <v>0</v>
      </c>
      <c r="W200" s="871">
        <f t="shared" si="196"/>
        <v>0</v>
      </c>
      <c r="X200" s="871">
        <f t="shared" si="197"/>
        <v>0</v>
      </c>
      <c r="Y200" s="869">
        <f t="shared" si="198"/>
        <v>0</v>
      </c>
      <c r="Z200" s="872">
        <f t="shared" si="190"/>
        <v>0</v>
      </c>
      <c r="AA200" s="1154"/>
      <c r="AB200" s="876"/>
      <c r="AC200" s="876"/>
      <c r="AD200" s="877"/>
      <c r="AE200" s="1431"/>
    </row>
    <row r="201" spans="1:31" s="1" customFormat="1" ht="24.95" customHeight="1" x14ac:dyDescent="0.15">
      <c r="A201" s="1430">
        <v>3</v>
      </c>
      <c r="B201" s="1436" t="s">
        <v>232</v>
      </c>
      <c r="C201" s="1430" t="s">
        <v>201</v>
      </c>
      <c r="D201" s="1432">
        <v>5</v>
      </c>
      <c r="E201" s="1432">
        <f>F201+F202</f>
        <v>12</v>
      </c>
      <c r="F201" s="854">
        <v>4</v>
      </c>
      <c r="G201" s="855" t="s">
        <v>156</v>
      </c>
      <c r="H201" s="878"/>
      <c r="I201" s="865">
        <f t="shared" si="185"/>
        <v>0</v>
      </c>
      <c r="J201" s="866">
        <f>H201*60%</f>
        <v>0</v>
      </c>
      <c r="K201" s="867"/>
      <c r="L201" s="868">
        <f t="shared" si="186"/>
        <v>0</v>
      </c>
      <c r="M201" s="869">
        <f t="shared" si="187"/>
        <v>0</v>
      </c>
      <c r="N201" s="869"/>
      <c r="O201" s="869"/>
      <c r="P201" s="869">
        <f t="shared" si="188"/>
        <v>0</v>
      </c>
      <c r="Q201" s="869">
        <f t="shared" ref="Q201" si="199">200000*12</f>
        <v>2400000</v>
      </c>
      <c r="R201" s="870">
        <f t="shared" si="191"/>
        <v>2400000</v>
      </c>
      <c r="S201" s="871">
        <f t="shared" si="195"/>
        <v>200000</v>
      </c>
      <c r="T201" s="871">
        <f t="shared" si="189"/>
        <v>108000</v>
      </c>
      <c r="U201" s="871">
        <f t="shared" si="192"/>
        <v>85080</v>
      </c>
      <c r="V201" s="871">
        <f t="shared" si="193"/>
        <v>10900</v>
      </c>
      <c r="W201" s="871">
        <f t="shared" si="196"/>
        <v>25200</v>
      </c>
      <c r="X201" s="871">
        <f t="shared" si="197"/>
        <v>19200</v>
      </c>
      <c r="Y201" s="869">
        <f t="shared" ref="Y201:Y204" si="200">SUM(T201:X201)</f>
        <v>248380</v>
      </c>
      <c r="Z201" s="872">
        <f t="shared" si="190"/>
        <v>448380</v>
      </c>
      <c r="AA201" s="1434">
        <f>SUM(Z201,Z202,R201,R202,I201,I202)</f>
        <v>2848380</v>
      </c>
      <c r="AB201" s="873"/>
      <c r="AC201" s="873"/>
      <c r="AD201" s="874"/>
      <c r="AE201" s="1430"/>
    </row>
    <row r="202" spans="1:31" s="1" customFormat="1" ht="24.95" customHeight="1" x14ac:dyDescent="0.15">
      <c r="A202" s="1431"/>
      <c r="B202" s="1431"/>
      <c r="C202" s="1431"/>
      <c r="D202" s="1433"/>
      <c r="E202" s="1433"/>
      <c r="F202" s="859">
        <v>8</v>
      </c>
      <c r="G202" s="855">
        <f>G201+1</f>
        <v>15</v>
      </c>
      <c r="H202" s="878"/>
      <c r="I202" s="865">
        <f t="shared" si="185"/>
        <v>0</v>
      </c>
      <c r="J202" s="866">
        <f>H202*60%</f>
        <v>0</v>
      </c>
      <c r="K202" s="867"/>
      <c r="L202" s="875">
        <f t="shared" si="186"/>
        <v>0</v>
      </c>
      <c r="M202" s="869">
        <f t="shared" si="187"/>
        <v>0</v>
      </c>
      <c r="N202" s="869"/>
      <c r="O202" s="869"/>
      <c r="P202" s="869">
        <f t="shared" si="188"/>
        <v>0</v>
      </c>
      <c r="Q202" s="869"/>
      <c r="R202" s="870">
        <f t="shared" si="191"/>
        <v>0</v>
      </c>
      <c r="S202" s="871">
        <f t="shared" si="195"/>
        <v>0</v>
      </c>
      <c r="T202" s="871">
        <f t="shared" si="189"/>
        <v>0</v>
      </c>
      <c r="U202" s="871">
        <f t="shared" si="192"/>
        <v>0</v>
      </c>
      <c r="V202" s="871">
        <f t="shared" si="193"/>
        <v>0</v>
      </c>
      <c r="W202" s="871">
        <f t="shared" si="196"/>
        <v>0</v>
      </c>
      <c r="X202" s="871">
        <f t="shared" si="197"/>
        <v>0</v>
      </c>
      <c r="Y202" s="869">
        <f t="shared" si="200"/>
        <v>0</v>
      </c>
      <c r="Z202" s="872">
        <f t="shared" si="190"/>
        <v>0</v>
      </c>
      <c r="AA202" s="1435"/>
      <c r="AB202" s="876"/>
      <c r="AC202" s="876"/>
      <c r="AD202" s="877"/>
      <c r="AE202" s="1431"/>
    </row>
    <row r="203" spans="1:31" s="1" customFormat="1" ht="24.95" customHeight="1" x14ac:dyDescent="0.15">
      <c r="A203" s="1430">
        <v>4</v>
      </c>
      <c r="B203" s="1436" t="s">
        <v>232</v>
      </c>
      <c r="C203" s="1430" t="s">
        <v>202</v>
      </c>
      <c r="D203" s="1432">
        <v>4</v>
      </c>
      <c r="E203" s="1432">
        <f>F203+F204</f>
        <v>12</v>
      </c>
      <c r="F203" s="854">
        <v>3</v>
      </c>
      <c r="G203" s="855" t="s">
        <v>180</v>
      </c>
      <c r="H203" s="878"/>
      <c r="I203" s="865">
        <f>H203*F203</f>
        <v>0</v>
      </c>
      <c r="J203" s="866">
        <f>H203*60%</f>
        <v>0</v>
      </c>
      <c r="K203" s="867"/>
      <c r="L203" s="868">
        <f t="shared" si="186"/>
        <v>0</v>
      </c>
      <c r="M203" s="869">
        <f t="shared" si="187"/>
        <v>0</v>
      </c>
      <c r="N203" s="869"/>
      <c r="O203" s="869"/>
      <c r="P203" s="869">
        <f t="shared" si="188"/>
        <v>0</v>
      </c>
      <c r="Q203" s="869">
        <f t="shared" ref="Q203" si="201">200000*12</f>
        <v>2400000</v>
      </c>
      <c r="R203" s="870">
        <f t="shared" si="191"/>
        <v>2400000</v>
      </c>
      <c r="S203" s="871">
        <f t="shared" si="195"/>
        <v>200000</v>
      </c>
      <c r="T203" s="871">
        <f t="shared" si="189"/>
        <v>108000</v>
      </c>
      <c r="U203" s="871">
        <f t="shared" si="192"/>
        <v>85080</v>
      </c>
      <c r="V203" s="871">
        <f t="shared" si="193"/>
        <v>10900</v>
      </c>
      <c r="W203" s="871">
        <f t="shared" si="196"/>
        <v>25200</v>
      </c>
      <c r="X203" s="871">
        <f t="shared" si="197"/>
        <v>19200</v>
      </c>
      <c r="Y203" s="869">
        <f t="shared" si="200"/>
        <v>248380</v>
      </c>
      <c r="Z203" s="872">
        <f t="shared" si="190"/>
        <v>448380</v>
      </c>
      <c r="AA203" s="1434">
        <f>SUM(Z203,Z204,R203,R204,I203,I204)</f>
        <v>2848380</v>
      </c>
      <c r="AB203" s="873"/>
      <c r="AC203" s="873"/>
      <c r="AD203" s="874"/>
      <c r="AE203" s="1430"/>
    </row>
    <row r="204" spans="1:31" s="1" customFormat="1" ht="24.95" customHeight="1" x14ac:dyDescent="0.15">
      <c r="A204" s="1431"/>
      <c r="B204" s="1431"/>
      <c r="C204" s="1431"/>
      <c r="D204" s="1433"/>
      <c r="E204" s="1433"/>
      <c r="F204" s="859">
        <v>9</v>
      </c>
      <c r="G204" s="855">
        <f>G203+1</f>
        <v>13</v>
      </c>
      <c r="H204" s="878"/>
      <c r="I204" s="865">
        <f t="shared" si="185"/>
        <v>0</v>
      </c>
      <c r="J204" s="866">
        <f>H204*60%</f>
        <v>0</v>
      </c>
      <c r="K204" s="867"/>
      <c r="L204" s="875">
        <f t="shared" si="186"/>
        <v>0</v>
      </c>
      <c r="M204" s="869">
        <f t="shared" si="187"/>
        <v>0</v>
      </c>
      <c r="N204" s="869"/>
      <c r="O204" s="869"/>
      <c r="P204" s="869">
        <f t="shared" si="188"/>
        <v>0</v>
      </c>
      <c r="Q204" s="869"/>
      <c r="R204" s="870">
        <f t="shared" si="191"/>
        <v>0</v>
      </c>
      <c r="S204" s="871">
        <f t="shared" si="195"/>
        <v>0</v>
      </c>
      <c r="T204" s="871">
        <f t="shared" si="189"/>
        <v>0</v>
      </c>
      <c r="U204" s="871">
        <f t="shared" ref="U204" si="202">ROUNDUP((R204)*3.495%,-1)</f>
        <v>0</v>
      </c>
      <c r="V204" s="871">
        <f t="shared" ref="V204" si="203">ROUNDUP(U204*12.27%,-1)</f>
        <v>0</v>
      </c>
      <c r="W204" s="871">
        <f t="shared" si="196"/>
        <v>0</v>
      </c>
      <c r="X204" s="871">
        <f t="shared" si="197"/>
        <v>0</v>
      </c>
      <c r="Y204" s="869">
        <f t="shared" si="200"/>
        <v>0</v>
      </c>
      <c r="Z204" s="872">
        <f t="shared" si="190"/>
        <v>0</v>
      </c>
      <c r="AA204" s="1435"/>
      <c r="AB204" s="876"/>
      <c r="AC204" s="876"/>
      <c r="AD204" s="877"/>
      <c r="AE204" s="1431"/>
    </row>
    <row r="205" spans="1:31" s="1" customFormat="1" ht="24.75" customHeight="1" x14ac:dyDescent="0.15">
      <c r="A205" s="1430">
        <v>5</v>
      </c>
      <c r="B205" s="1432" t="s">
        <v>1108</v>
      </c>
      <c r="C205" s="1432" t="s">
        <v>1103</v>
      </c>
      <c r="D205" s="1432">
        <v>1</v>
      </c>
      <c r="E205" s="1432"/>
      <c r="F205" s="854">
        <v>12</v>
      </c>
      <c r="G205" s="855" t="s">
        <v>1109</v>
      </c>
      <c r="H205" s="864">
        <v>2150000</v>
      </c>
      <c r="I205" s="865">
        <f t="shared" si="185"/>
        <v>25800000</v>
      </c>
      <c r="J205" s="866"/>
      <c r="K205" s="867"/>
      <c r="L205" s="868" t="s">
        <v>647</v>
      </c>
      <c r="M205" s="869"/>
      <c r="N205" s="869"/>
      <c r="O205" s="869"/>
      <c r="P205" s="869"/>
      <c r="Q205" s="869"/>
      <c r="R205" s="870">
        <f>SUM(J205,K205,M205,P205,Q205)</f>
        <v>0</v>
      </c>
      <c r="S205" s="871">
        <f>ROUNDUP((I205+J205+K205+M205+P205+Q205)*1/12,-1)</f>
        <v>2150000</v>
      </c>
      <c r="T205" s="871"/>
      <c r="U205" s="871">
        <f>ROUNDUP((I205+J205+K205+M205+P205)*3.545%,-1)</f>
        <v>914610</v>
      </c>
      <c r="V205" s="871">
        <f>ROUNDUP(U205*12.81%,-1)</f>
        <v>117170</v>
      </c>
      <c r="W205" s="871">
        <f>ROUND((I205+J205+K205+M205+P205)*1.05%,-1)</f>
        <v>270900</v>
      </c>
      <c r="X205" s="871">
        <f>ROUND((I205+J205+K205+M205+P205)*0.8%,-1)</f>
        <v>206400</v>
      </c>
      <c r="Y205" s="869">
        <f>SUM(T205:X205)</f>
        <v>1509080</v>
      </c>
      <c r="Z205" s="872">
        <f>SUM(S205,Y205)</f>
        <v>3659080</v>
      </c>
      <c r="AA205" s="1434">
        <f>SUM(Z205,Z206,R205,R206,I205,I206)</f>
        <v>29459080</v>
      </c>
      <c r="AB205" s="873"/>
      <c r="AC205" s="873"/>
      <c r="AD205" s="873">
        <f>AC205+AB205</f>
        <v>0</v>
      </c>
      <c r="AE205" s="1430"/>
    </row>
    <row r="206" spans="1:31" s="1" customFormat="1" ht="24.95" customHeight="1" x14ac:dyDescent="0.15">
      <c r="A206" s="1431"/>
      <c r="B206" s="1433"/>
      <c r="C206" s="1433"/>
      <c r="D206" s="1433"/>
      <c r="E206" s="1433"/>
      <c r="F206" s="859"/>
      <c r="G206" s="855"/>
      <c r="H206" s="864"/>
      <c r="I206" s="865">
        <f>H206*F206</f>
        <v>0</v>
      </c>
      <c r="J206" s="866">
        <f>H206*60%</f>
        <v>0</v>
      </c>
      <c r="K206" s="867"/>
      <c r="L206" s="875">
        <f>ROUND(H206*1/209*1.5,-1)</f>
        <v>0</v>
      </c>
      <c r="M206" s="869">
        <f>(L206*40)*F206</f>
        <v>0</v>
      </c>
      <c r="N206" s="869"/>
      <c r="O206" s="869"/>
      <c r="P206" s="869"/>
      <c r="Q206" s="869"/>
      <c r="R206" s="870">
        <f>SUM(J206,K206,M206,P206,Q206)</f>
        <v>0</v>
      </c>
      <c r="S206" s="871">
        <f>ROUNDUP((I206+J206+K206+M206+P206+Q206)*1/12,-1)</f>
        <v>0</v>
      </c>
      <c r="T206" s="871">
        <f>ROUND((I206+J206+K206+M206+P206)*4.5%,-1)</f>
        <v>0</v>
      </c>
      <c r="U206" s="871">
        <f t="shared" ref="U206:U208" si="204">ROUNDUP((I206+J206+K206+M206+P206)*3.545%,-1)</f>
        <v>0</v>
      </c>
      <c r="V206" s="871">
        <f t="shared" ref="V206:V208" si="205">ROUNDUP(U206*12.81%,-1)</f>
        <v>0</v>
      </c>
      <c r="W206" s="871">
        <f>ROUND((I206+J206+K206+M206+P206)*1.05%,-1)</f>
        <v>0</v>
      </c>
      <c r="X206" s="871">
        <f>ROUND((I206+J206+K206+M206+P206)*0.8%,-1)</f>
        <v>0</v>
      </c>
      <c r="Y206" s="869">
        <f>SUM(T206:X206)</f>
        <v>0</v>
      </c>
      <c r="Z206" s="872">
        <f>SUM(S206,Y206)</f>
        <v>0</v>
      </c>
      <c r="AA206" s="1435"/>
      <c r="AB206" s="876"/>
      <c r="AC206" s="876"/>
      <c r="AD206" s="876"/>
      <c r="AE206" s="1431"/>
    </row>
    <row r="207" spans="1:31" s="1" customFormat="1" ht="24.75" customHeight="1" x14ac:dyDescent="0.15">
      <c r="A207" s="1430">
        <v>6</v>
      </c>
      <c r="B207" s="1432"/>
      <c r="C207" s="1432" t="s">
        <v>727</v>
      </c>
      <c r="D207" s="1432"/>
      <c r="E207" s="1432"/>
      <c r="F207" s="854">
        <v>3</v>
      </c>
      <c r="G207" s="855"/>
      <c r="H207" s="864">
        <v>2000000</v>
      </c>
      <c r="I207" s="865">
        <f>H207*F207</f>
        <v>6000000</v>
      </c>
      <c r="J207" s="866"/>
      <c r="K207" s="867"/>
      <c r="L207" s="868" t="s">
        <v>980</v>
      </c>
      <c r="M207" s="869"/>
      <c r="N207" s="869"/>
      <c r="O207" s="869"/>
      <c r="P207" s="869"/>
      <c r="Q207" s="869"/>
      <c r="R207" s="870">
        <f>SUM(J207,K207,M207,P207,Q207)</f>
        <v>0</v>
      </c>
      <c r="S207" s="871">
        <f>ROUNDUP((I207+J207+K207+M207+P207+Q207)*1/12,-1)</f>
        <v>500000</v>
      </c>
      <c r="T207" s="871">
        <f>ROUND((I207+J207+K207+M207+P207)*4.5%,-1)</f>
        <v>270000</v>
      </c>
      <c r="U207" s="871">
        <f t="shared" si="204"/>
        <v>212700</v>
      </c>
      <c r="V207" s="871">
        <f t="shared" si="205"/>
        <v>27250</v>
      </c>
      <c r="W207" s="871">
        <f>ROUND((I207+J207+K207+M207+P207)*1.05%,-1)</f>
        <v>63000</v>
      </c>
      <c r="X207" s="871">
        <f>ROUND((I207+J207+K207+M207+P207)*0.8%,-1)</f>
        <v>48000</v>
      </c>
      <c r="Y207" s="869">
        <f>SUM(T207:X207)</f>
        <v>620950</v>
      </c>
      <c r="Z207" s="872">
        <f>SUM(S207,Y207)</f>
        <v>1120950</v>
      </c>
      <c r="AA207" s="1434">
        <f>SUM(Z207,Z208,R207,R208,I207,I208)</f>
        <v>7120950</v>
      </c>
      <c r="AB207" s="873"/>
      <c r="AC207" s="873"/>
      <c r="AD207" s="873">
        <f>AC207+AB207</f>
        <v>0</v>
      </c>
      <c r="AE207" s="1430"/>
    </row>
    <row r="208" spans="1:31" s="1" customFormat="1" ht="24.95" customHeight="1" x14ac:dyDescent="0.15">
      <c r="A208" s="1431"/>
      <c r="B208" s="1433"/>
      <c r="C208" s="1433"/>
      <c r="D208" s="1433"/>
      <c r="E208" s="1433"/>
      <c r="F208" s="859"/>
      <c r="G208" s="855"/>
      <c r="H208" s="864"/>
      <c r="I208" s="865">
        <f>H208*F208</f>
        <v>0</v>
      </c>
      <c r="J208" s="866">
        <f>H208*60%</f>
        <v>0</v>
      </c>
      <c r="K208" s="867"/>
      <c r="L208" s="875">
        <f>ROUND(H208*1/209*1.5,-1)</f>
        <v>0</v>
      </c>
      <c r="M208" s="869">
        <f>(L208*40)*F208</f>
        <v>0</v>
      </c>
      <c r="N208" s="869"/>
      <c r="O208" s="869"/>
      <c r="P208" s="869"/>
      <c r="Q208" s="869"/>
      <c r="R208" s="870">
        <f>SUM(J208,K208,M208,P208,Q208)</f>
        <v>0</v>
      </c>
      <c r="S208" s="871">
        <f>ROUNDUP((I208+J208+K208+M208+P208+Q208)*1/12,-1)</f>
        <v>0</v>
      </c>
      <c r="T208" s="871">
        <f>ROUND((I208+J208+K208+M208+P208)*4.5%,-1)</f>
        <v>0</v>
      </c>
      <c r="U208" s="871">
        <f t="shared" si="204"/>
        <v>0</v>
      </c>
      <c r="V208" s="871">
        <f t="shared" si="205"/>
        <v>0</v>
      </c>
      <c r="W208" s="871">
        <f>ROUND((I208+J208+K208+M208+P208)*1.05%,-1)</f>
        <v>0</v>
      </c>
      <c r="X208" s="871">
        <f>ROUND((I208+J208+K208+M208+P208)*0.8%,-1)</f>
        <v>0</v>
      </c>
      <c r="Y208" s="869">
        <f>SUM(T208:X208)</f>
        <v>0</v>
      </c>
      <c r="Z208" s="872">
        <f>SUM(S208,Y208)</f>
        <v>0</v>
      </c>
      <c r="AA208" s="1435"/>
      <c r="AB208" s="876"/>
      <c r="AC208" s="876"/>
      <c r="AD208" s="876"/>
      <c r="AE208" s="1431"/>
    </row>
    <row r="209" spans="1:31" s="96" customFormat="1" ht="35.1" customHeight="1" x14ac:dyDescent="0.15">
      <c r="A209" s="1439" t="s">
        <v>929</v>
      </c>
      <c r="B209" s="1440"/>
      <c r="C209" s="1440"/>
      <c r="D209" s="1440"/>
      <c r="E209" s="1440"/>
      <c r="F209" s="1440"/>
      <c r="G209" s="1440"/>
      <c r="H209" s="1441"/>
      <c r="I209" s="1099">
        <f>SUM(I197:I208)</f>
        <v>31800000</v>
      </c>
      <c r="J209" s="1099">
        <f t="shared" ref="J209:Q209" si="206">SUM(J197:J208)</f>
        <v>0</v>
      </c>
      <c r="K209" s="1099">
        <f t="shared" si="206"/>
        <v>0</v>
      </c>
      <c r="L209" s="1099"/>
      <c r="M209" s="1099">
        <f t="shared" si="206"/>
        <v>0</v>
      </c>
      <c r="N209" s="1099"/>
      <c r="O209" s="1099"/>
      <c r="P209" s="1099">
        <f t="shared" si="206"/>
        <v>0</v>
      </c>
      <c r="Q209" s="1099">
        <f t="shared" si="206"/>
        <v>9600000</v>
      </c>
      <c r="R209" s="1099">
        <f>SUM(R197:R208)</f>
        <v>9600000</v>
      </c>
      <c r="S209" s="1099">
        <f>SUM(S197:S208)</f>
        <v>3450000</v>
      </c>
      <c r="T209" s="1099">
        <f t="shared" ref="T209:X209" si="207">SUM(T197:T208)</f>
        <v>702000</v>
      </c>
      <c r="U209" s="1099">
        <f t="shared" si="207"/>
        <v>1467630</v>
      </c>
      <c r="V209" s="1099">
        <f t="shared" si="207"/>
        <v>188020</v>
      </c>
      <c r="W209" s="1099">
        <f t="shared" si="207"/>
        <v>434700</v>
      </c>
      <c r="X209" s="1099">
        <f t="shared" si="207"/>
        <v>331200</v>
      </c>
      <c r="Y209" s="1099">
        <f>SUM(Y197:Y208)</f>
        <v>3123550</v>
      </c>
      <c r="Z209" s="1099">
        <f>SUM(Z197:Z208)</f>
        <v>6573550</v>
      </c>
      <c r="AA209" s="1099">
        <f>SUM(AA197:AA208)</f>
        <v>47973550</v>
      </c>
      <c r="AB209" s="1099">
        <f>SUM(AB195:AB208)</f>
        <v>0</v>
      </c>
      <c r="AC209" s="1099">
        <f>SUM(AC195:AC208)</f>
        <v>0</v>
      </c>
      <c r="AD209" s="1099">
        <f>SUM(AD195:AD208)</f>
        <v>0</v>
      </c>
      <c r="AE209" s="1099">
        <f>SUM(AE195:AE208)</f>
        <v>0</v>
      </c>
    </row>
    <row r="210" spans="1:31" hidden="1" x14ac:dyDescent="0.15"/>
    <row r="211" spans="1:31" hidden="1" x14ac:dyDescent="0.15"/>
    <row r="212" spans="1:31" s="1" customFormat="1" ht="20.25" hidden="1" customHeight="1" x14ac:dyDescent="0.15">
      <c r="A212" s="1446" t="s">
        <v>47</v>
      </c>
      <c r="B212" s="1446" t="s">
        <v>48</v>
      </c>
      <c r="C212" s="1446" t="s">
        <v>72</v>
      </c>
      <c r="D212" s="1446" t="s">
        <v>169</v>
      </c>
      <c r="E212" s="848"/>
      <c r="F212" s="848"/>
      <c r="G212" s="1446" t="s">
        <v>49</v>
      </c>
      <c r="H212" s="1444" t="s">
        <v>165</v>
      </c>
      <c r="I212" s="1444" t="s">
        <v>74</v>
      </c>
      <c r="J212" s="1448" t="s">
        <v>62</v>
      </c>
      <c r="K212" s="1449"/>
      <c r="L212" s="1449"/>
      <c r="M212" s="1449"/>
      <c r="N212" s="1449"/>
      <c r="O212" s="1449"/>
      <c r="P212" s="1449"/>
      <c r="Q212" s="1449"/>
      <c r="R212" s="1450"/>
      <c r="S212" s="1442" t="s">
        <v>53</v>
      </c>
      <c r="T212" s="1442" t="s">
        <v>160</v>
      </c>
      <c r="U212" s="1442" t="s">
        <v>161</v>
      </c>
      <c r="V212" s="1442" t="s">
        <v>164</v>
      </c>
      <c r="W212" s="1442" t="s">
        <v>162</v>
      </c>
      <c r="X212" s="1442" t="s">
        <v>163</v>
      </c>
      <c r="Y212" s="1442" t="s">
        <v>230</v>
      </c>
      <c r="Z212" s="1442" t="s">
        <v>170</v>
      </c>
      <c r="AA212" s="1444" t="s">
        <v>71</v>
      </c>
      <c r="AB212" s="1448" t="s">
        <v>68</v>
      </c>
      <c r="AC212" s="1449"/>
      <c r="AD212" s="1450"/>
      <c r="AE212" s="1444" t="s">
        <v>50</v>
      </c>
    </row>
    <row r="213" spans="1:31" s="1" customFormat="1" ht="24.75" hidden="1" customHeight="1" x14ac:dyDescent="0.15">
      <c r="A213" s="1447"/>
      <c r="B213" s="1447"/>
      <c r="C213" s="1447"/>
      <c r="D213" s="1447"/>
      <c r="E213" s="849"/>
      <c r="F213" s="849"/>
      <c r="G213" s="1447"/>
      <c r="H213" s="1445"/>
      <c r="I213" s="1445"/>
      <c r="J213" s="850" t="s">
        <v>441</v>
      </c>
      <c r="K213" s="850" t="s">
        <v>157</v>
      </c>
      <c r="L213" s="850" t="s">
        <v>168</v>
      </c>
      <c r="M213" s="850" t="s">
        <v>158</v>
      </c>
      <c r="N213" s="850"/>
      <c r="O213" s="850"/>
      <c r="P213" s="851" t="s">
        <v>159</v>
      </c>
      <c r="Q213" s="851" t="s">
        <v>231</v>
      </c>
      <c r="R213" s="850" t="s">
        <v>63</v>
      </c>
      <c r="S213" s="1443"/>
      <c r="T213" s="1443"/>
      <c r="U213" s="1443"/>
      <c r="V213" s="1443"/>
      <c r="W213" s="1443"/>
      <c r="X213" s="1443"/>
      <c r="Y213" s="1443"/>
      <c r="Z213" s="1443"/>
      <c r="AA213" s="1445"/>
      <c r="AB213" s="852" t="s">
        <v>228</v>
      </c>
      <c r="AC213" s="852" t="s">
        <v>229</v>
      </c>
      <c r="AD213" s="853" t="s">
        <v>69</v>
      </c>
      <c r="AE213" s="1445"/>
    </row>
    <row r="214" spans="1:31" s="96" customFormat="1" ht="35.1" customHeight="1" x14ac:dyDescent="0.15">
      <c r="A214" s="1455" t="s">
        <v>887</v>
      </c>
      <c r="B214" s="1456"/>
      <c r="C214" s="1456"/>
      <c r="D214" s="1456"/>
      <c r="E214" s="1456"/>
      <c r="F214" s="1456"/>
      <c r="G214" s="1456"/>
      <c r="H214" s="1457"/>
      <c r="I214" s="1057">
        <f>I103+I116+I149+I161+I191+I209</f>
        <v>2033209000</v>
      </c>
      <c r="J214" s="1057">
        <f t="shared" ref="J214:Y214" si="208">J103+J116+J149+J161+J191+J209</f>
        <v>196734000</v>
      </c>
      <c r="K214" s="1057">
        <f t="shared" si="208"/>
        <v>24960000</v>
      </c>
      <c r="L214" s="1057"/>
      <c r="M214" s="1057">
        <f t="shared" si="208"/>
        <v>437989960</v>
      </c>
      <c r="N214" s="1057">
        <f t="shared" si="208"/>
        <v>0</v>
      </c>
      <c r="O214" s="1057">
        <f>O103+O116+O149+O161+O191+O209</f>
        <v>78086400</v>
      </c>
      <c r="P214" s="1057">
        <f t="shared" si="208"/>
        <v>28855300</v>
      </c>
      <c r="Q214" s="1057">
        <f t="shared" si="208"/>
        <v>28800000</v>
      </c>
      <c r="R214" s="1057">
        <f>R103+R116+R149+R161+R191+R209</f>
        <v>795425660</v>
      </c>
      <c r="S214" s="1057">
        <f t="shared" si="208"/>
        <v>233124920</v>
      </c>
      <c r="T214" s="1057">
        <f t="shared" si="208"/>
        <v>121668220</v>
      </c>
      <c r="U214" s="1057">
        <f t="shared" si="208"/>
        <v>99171790</v>
      </c>
      <c r="V214" s="1057">
        <f t="shared" si="208"/>
        <v>12704520</v>
      </c>
      <c r="W214" s="1057">
        <f t="shared" si="208"/>
        <v>28660170</v>
      </c>
      <c r="X214" s="1057">
        <f t="shared" si="208"/>
        <v>21836310</v>
      </c>
      <c r="Y214" s="1057">
        <f t="shared" si="208"/>
        <v>284041010</v>
      </c>
      <c r="Z214" s="1057">
        <f>Z103+Z116+Z149+Z161+Z191+Z209</f>
        <v>517165930</v>
      </c>
      <c r="AA214" s="1057">
        <f>AA103+AA116+AA149+AA161+AA191+AA209</f>
        <v>3345800590</v>
      </c>
      <c r="AB214" s="1057">
        <f>AB103+AB116+AB149+AB161+AB191+AB209</f>
        <v>180750000</v>
      </c>
      <c r="AC214" s="1057">
        <f>AC103+AC116+AC149+AC161+AC191+AC209</f>
        <v>39000000</v>
      </c>
      <c r="AD214" s="1057">
        <f>AD103+AD116+AD149+AD161+AD191+AD209</f>
        <v>214500000</v>
      </c>
      <c r="AE214" s="1057">
        <f>SUM(AE212:AE213)</f>
        <v>0</v>
      </c>
    </row>
  </sheetData>
  <mergeCells count="700">
    <mergeCell ref="A116:H116"/>
    <mergeCell ref="A117:AA117"/>
    <mergeCell ref="A110:A111"/>
    <mergeCell ref="B110:B111"/>
    <mergeCell ref="C110:C111"/>
    <mergeCell ref="D110:D111"/>
    <mergeCell ref="AA91:AA92"/>
    <mergeCell ref="AE91:AE92"/>
    <mergeCell ref="AA89:AA90"/>
    <mergeCell ref="E93:E94"/>
    <mergeCell ref="E95:E96"/>
    <mergeCell ref="E97:E98"/>
    <mergeCell ref="A99:A100"/>
    <mergeCell ref="AA99:AA100"/>
    <mergeCell ref="AE99:AE100"/>
    <mergeCell ref="AA93:AA94"/>
    <mergeCell ref="AE93:AE94"/>
    <mergeCell ref="D93:D94"/>
    <mergeCell ref="B99:B100"/>
    <mergeCell ref="C99:C100"/>
    <mergeCell ref="D99:D100"/>
    <mergeCell ref="E99:E100"/>
    <mergeCell ref="E91:E92"/>
    <mergeCell ref="A93:A94"/>
    <mergeCell ref="E67:E68"/>
    <mergeCell ref="E69:E70"/>
    <mergeCell ref="E71:E72"/>
    <mergeCell ref="E73:E74"/>
    <mergeCell ref="E75:E76"/>
    <mergeCell ref="E77:E78"/>
    <mergeCell ref="E79:E80"/>
    <mergeCell ref="E81:E82"/>
    <mergeCell ref="E35:E36"/>
    <mergeCell ref="E37:E38"/>
    <mergeCell ref="E39:E40"/>
    <mergeCell ref="E41:E42"/>
    <mergeCell ref="E43:E44"/>
    <mergeCell ref="E45:E46"/>
    <mergeCell ref="E47:E48"/>
    <mergeCell ref="A1:AE1"/>
    <mergeCell ref="A3:A4"/>
    <mergeCell ref="B3:B4"/>
    <mergeCell ref="G3:G4"/>
    <mergeCell ref="I3:I4"/>
    <mergeCell ref="J3:R3"/>
    <mergeCell ref="S3:S4"/>
    <mergeCell ref="Y3:Y4"/>
    <mergeCell ref="AA3:AA4"/>
    <mergeCell ref="T3:T4"/>
    <mergeCell ref="U3:U4"/>
    <mergeCell ref="V3:V4"/>
    <mergeCell ref="W3:W4"/>
    <mergeCell ref="X3:X4"/>
    <mergeCell ref="H3:H4"/>
    <mergeCell ref="D3:D4"/>
    <mergeCell ref="C3:C4"/>
    <mergeCell ref="A2:C2"/>
    <mergeCell ref="B31:B32"/>
    <mergeCell ref="A29:A30"/>
    <mergeCell ref="B29:B30"/>
    <mergeCell ref="A5:A6"/>
    <mergeCell ref="B5:B6"/>
    <mergeCell ref="AE3:AE4"/>
    <mergeCell ref="Z3:Z4"/>
    <mergeCell ref="AB3:AD3"/>
    <mergeCell ref="AA5:AA6"/>
    <mergeCell ref="C5:C6"/>
    <mergeCell ref="D5:D6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D7:D8"/>
    <mergeCell ref="D9:D10"/>
    <mergeCell ref="D11:D12"/>
    <mergeCell ref="D13:D14"/>
    <mergeCell ref="D15:D16"/>
    <mergeCell ref="A104:AA104"/>
    <mergeCell ref="A7:A8"/>
    <mergeCell ref="B7:B8"/>
    <mergeCell ref="A9:A10"/>
    <mergeCell ref="B9:B10"/>
    <mergeCell ref="A11:A12"/>
    <mergeCell ref="B11:B12"/>
    <mergeCell ref="A13:A14"/>
    <mergeCell ref="B13:B14"/>
    <mergeCell ref="B15:B16"/>
    <mergeCell ref="A15:A16"/>
    <mergeCell ref="A17:A18"/>
    <mergeCell ref="B17:B18"/>
    <mergeCell ref="A19:A20"/>
    <mergeCell ref="B19:B20"/>
    <mergeCell ref="AA21:AA22"/>
    <mergeCell ref="A25:A26"/>
    <mergeCell ref="B25:B26"/>
    <mergeCell ref="B27:B28"/>
    <mergeCell ref="AA7:AA8"/>
    <mergeCell ref="C7:C8"/>
    <mergeCell ref="C9:C10"/>
    <mergeCell ref="AE5:AE6"/>
    <mergeCell ref="AE7:AE8"/>
    <mergeCell ref="AA9:AA10"/>
    <mergeCell ref="AE9:AE10"/>
    <mergeCell ref="AA11:AA12"/>
    <mergeCell ref="AE11:AE12"/>
    <mergeCell ref="AA13:AA14"/>
    <mergeCell ref="AA15:AA16"/>
    <mergeCell ref="AE13:AE14"/>
    <mergeCell ref="AE15:AE16"/>
    <mergeCell ref="C11:C12"/>
    <mergeCell ref="C13:C14"/>
    <mergeCell ref="C15:C16"/>
    <mergeCell ref="C17:C18"/>
    <mergeCell ref="C19:C20"/>
    <mergeCell ref="C21:C22"/>
    <mergeCell ref="AE31:AE32"/>
    <mergeCell ref="AA25:AA26"/>
    <mergeCell ref="AE25:AE26"/>
    <mergeCell ref="AA27:AA28"/>
    <mergeCell ref="AE27:AE28"/>
    <mergeCell ref="D21:D22"/>
    <mergeCell ref="D23:D24"/>
    <mergeCell ref="D25:D26"/>
    <mergeCell ref="D27:D28"/>
    <mergeCell ref="D29:D30"/>
    <mergeCell ref="D31:D32"/>
    <mergeCell ref="AE21:AE22"/>
    <mergeCell ref="AA23:AA24"/>
    <mergeCell ref="AE23:AE24"/>
    <mergeCell ref="E25:E26"/>
    <mergeCell ref="E27:E28"/>
    <mergeCell ref="AE17:AE18"/>
    <mergeCell ref="AE19:AE20"/>
    <mergeCell ref="C37:C38"/>
    <mergeCell ref="AA37:AA38"/>
    <mergeCell ref="AE37:AE38"/>
    <mergeCell ref="AA35:AA36"/>
    <mergeCell ref="AE35:AE36"/>
    <mergeCell ref="B33:B34"/>
    <mergeCell ref="A33:A34"/>
    <mergeCell ref="A35:A36"/>
    <mergeCell ref="B35:B36"/>
    <mergeCell ref="A37:A38"/>
    <mergeCell ref="B37:B38"/>
    <mergeCell ref="AA33:AA34"/>
    <mergeCell ref="AE33:AE34"/>
    <mergeCell ref="D33:D34"/>
    <mergeCell ref="E33:E34"/>
    <mergeCell ref="D35:D36"/>
    <mergeCell ref="A39:A40"/>
    <mergeCell ref="B39:B40"/>
    <mergeCell ref="C39:C40"/>
    <mergeCell ref="AA39:AA40"/>
    <mergeCell ref="AE39:AE40"/>
    <mergeCell ref="A43:A44"/>
    <mergeCell ref="B43:B44"/>
    <mergeCell ref="C43:C44"/>
    <mergeCell ref="AA43:AA44"/>
    <mergeCell ref="AE43:AE44"/>
    <mergeCell ref="A41:A42"/>
    <mergeCell ref="B41:B42"/>
    <mergeCell ref="C41:C42"/>
    <mergeCell ref="AA41:AA42"/>
    <mergeCell ref="AE41:AE42"/>
    <mergeCell ref="C47:C48"/>
    <mergeCell ref="AA47:AA48"/>
    <mergeCell ref="AE47:AE48"/>
    <mergeCell ref="D47:D48"/>
    <mergeCell ref="A45:A46"/>
    <mergeCell ref="B45:B46"/>
    <mergeCell ref="C45:C46"/>
    <mergeCell ref="AA45:AA46"/>
    <mergeCell ref="AE45:AE46"/>
    <mergeCell ref="D45:D46"/>
    <mergeCell ref="A47:A48"/>
    <mergeCell ref="B47:B48"/>
    <mergeCell ref="AA49:AA50"/>
    <mergeCell ref="AE49:AE50"/>
    <mergeCell ref="D49:D50"/>
    <mergeCell ref="E49:E50"/>
    <mergeCell ref="AA53:AA54"/>
    <mergeCell ref="AE53:AE54"/>
    <mergeCell ref="D53:D54"/>
    <mergeCell ref="A51:A52"/>
    <mergeCell ref="B51:B52"/>
    <mergeCell ref="C51:C52"/>
    <mergeCell ref="AA51:AA52"/>
    <mergeCell ref="AE51:AE52"/>
    <mergeCell ref="D51:D52"/>
    <mergeCell ref="E51:E52"/>
    <mergeCell ref="E53:E54"/>
    <mergeCell ref="A49:A50"/>
    <mergeCell ref="B49:B50"/>
    <mergeCell ref="C49:C50"/>
    <mergeCell ref="B53:B54"/>
    <mergeCell ref="C53:C54"/>
    <mergeCell ref="D57:D58"/>
    <mergeCell ref="A55:A56"/>
    <mergeCell ref="B55:B56"/>
    <mergeCell ref="C55:C56"/>
    <mergeCell ref="AA55:AA56"/>
    <mergeCell ref="AE55:AE56"/>
    <mergeCell ref="D55:D56"/>
    <mergeCell ref="E55:E56"/>
    <mergeCell ref="E57:E58"/>
    <mergeCell ref="A57:A58"/>
    <mergeCell ref="B57:B58"/>
    <mergeCell ref="C57:C58"/>
    <mergeCell ref="D61:D62"/>
    <mergeCell ref="A59:A60"/>
    <mergeCell ref="B59:B60"/>
    <mergeCell ref="C59:C60"/>
    <mergeCell ref="D59:D60"/>
    <mergeCell ref="E59:E60"/>
    <mergeCell ref="E61:E62"/>
    <mergeCell ref="A61:A62"/>
    <mergeCell ref="B61:B62"/>
    <mergeCell ref="C61:C62"/>
    <mergeCell ref="D65:D66"/>
    <mergeCell ref="A63:A64"/>
    <mergeCell ref="B63:B64"/>
    <mergeCell ref="C63:C64"/>
    <mergeCell ref="D63:D64"/>
    <mergeCell ref="E63:E64"/>
    <mergeCell ref="E65:E66"/>
    <mergeCell ref="A87:A88"/>
    <mergeCell ref="B87:B88"/>
    <mergeCell ref="C87:C88"/>
    <mergeCell ref="D67:D68"/>
    <mergeCell ref="D71:D72"/>
    <mergeCell ref="A69:A70"/>
    <mergeCell ref="B69:B70"/>
    <mergeCell ref="C69:C70"/>
    <mergeCell ref="D77:D78"/>
    <mergeCell ref="A79:A80"/>
    <mergeCell ref="B79:B80"/>
    <mergeCell ref="C79:C80"/>
    <mergeCell ref="D69:D70"/>
    <mergeCell ref="A71:A72"/>
    <mergeCell ref="B71:B72"/>
    <mergeCell ref="C71:C72"/>
    <mergeCell ref="D75:D76"/>
    <mergeCell ref="AA87:AA88"/>
    <mergeCell ref="AE87:AE88"/>
    <mergeCell ref="D87:D88"/>
    <mergeCell ref="A85:A86"/>
    <mergeCell ref="B85:B86"/>
    <mergeCell ref="C85:C86"/>
    <mergeCell ref="AA85:AA86"/>
    <mergeCell ref="AE85:AE86"/>
    <mergeCell ref="D85:D86"/>
    <mergeCell ref="E85:E86"/>
    <mergeCell ref="E87:E88"/>
    <mergeCell ref="A97:A98"/>
    <mergeCell ref="B97:B98"/>
    <mergeCell ref="C97:C98"/>
    <mergeCell ref="AA97:AA98"/>
    <mergeCell ref="AE97:AE98"/>
    <mergeCell ref="D97:D98"/>
    <mergeCell ref="A95:A96"/>
    <mergeCell ref="B95:B96"/>
    <mergeCell ref="C95:C96"/>
    <mergeCell ref="AA95:AA96"/>
    <mergeCell ref="AE95:AE96"/>
    <mergeCell ref="D95:D96"/>
    <mergeCell ref="B93:B94"/>
    <mergeCell ref="C93:C94"/>
    <mergeCell ref="A73:A74"/>
    <mergeCell ref="B73:B74"/>
    <mergeCell ref="C73:C74"/>
    <mergeCell ref="D73:D74"/>
    <mergeCell ref="A75:A76"/>
    <mergeCell ref="B75:B76"/>
    <mergeCell ref="C75:C76"/>
    <mergeCell ref="D79:D80"/>
    <mergeCell ref="A77:A78"/>
    <mergeCell ref="B77:B78"/>
    <mergeCell ref="C77:C78"/>
    <mergeCell ref="AA83:AA84"/>
    <mergeCell ref="AE83:AE84"/>
    <mergeCell ref="D83:D84"/>
    <mergeCell ref="A81:A82"/>
    <mergeCell ref="B81:B82"/>
    <mergeCell ref="C81:C82"/>
    <mergeCell ref="D81:D82"/>
    <mergeCell ref="A83:A84"/>
    <mergeCell ref="B83:B84"/>
    <mergeCell ref="C83:C84"/>
    <mergeCell ref="E83:E84"/>
    <mergeCell ref="A21:A22"/>
    <mergeCell ref="A23:A24"/>
    <mergeCell ref="B21:B22"/>
    <mergeCell ref="B23:B24"/>
    <mergeCell ref="AA29:AA30"/>
    <mergeCell ref="AE29:AE30"/>
    <mergeCell ref="A27:A28"/>
    <mergeCell ref="A67:A68"/>
    <mergeCell ref="B67:B68"/>
    <mergeCell ref="C67:C68"/>
    <mergeCell ref="A65:A66"/>
    <mergeCell ref="D37:D38"/>
    <mergeCell ref="D39:D40"/>
    <mergeCell ref="D41:D42"/>
    <mergeCell ref="D43:D44"/>
    <mergeCell ref="B65:B66"/>
    <mergeCell ref="C65:C66"/>
    <mergeCell ref="C23:C24"/>
    <mergeCell ref="C25:C26"/>
    <mergeCell ref="C27:C28"/>
    <mergeCell ref="C29:C30"/>
    <mergeCell ref="C31:C32"/>
    <mergeCell ref="E29:E30"/>
    <mergeCell ref="E31:E32"/>
    <mergeCell ref="D17:D18"/>
    <mergeCell ref="D19:D20"/>
    <mergeCell ref="A31:A32"/>
    <mergeCell ref="AE89:AE90"/>
    <mergeCell ref="A103:H103"/>
    <mergeCell ref="A91:A92"/>
    <mergeCell ref="B91:B92"/>
    <mergeCell ref="C91:C92"/>
    <mergeCell ref="D91:D92"/>
    <mergeCell ref="A89:A90"/>
    <mergeCell ref="B89:B90"/>
    <mergeCell ref="C89:C90"/>
    <mergeCell ref="D89:D90"/>
    <mergeCell ref="A101:A102"/>
    <mergeCell ref="B101:B102"/>
    <mergeCell ref="C101:C102"/>
    <mergeCell ref="D101:D102"/>
    <mergeCell ref="AA101:AA102"/>
    <mergeCell ref="AE101:AE102"/>
    <mergeCell ref="E89:E90"/>
    <mergeCell ref="AA31:AA32"/>
    <mergeCell ref="C33:C34"/>
    <mergeCell ref="C35:C36"/>
    <mergeCell ref="A53:A54"/>
    <mergeCell ref="A106:AE106"/>
    <mergeCell ref="I108:I109"/>
    <mergeCell ref="J108:R108"/>
    <mergeCell ref="AA108:AA109"/>
    <mergeCell ref="AB108:AD108"/>
    <mergeCell ref="AE108:AE109"/>
    <mergeCell ref="AA110:AA111"/>
    <mergeCell ref="AE110:AE111"/>
    <mergeCell ref="AA112:AA113"/>
    <mergeCell ref="AE112:AE113"/>
    <mergeCell ref="U108:U109"/>
    <mergeCell ref="V108:V109"/>
    <mergeCell ref="W108:W109"/>
    <mergeCell ref="X108:X109"/>
    <mergeCell ref="Y108:Y109"/>
    <mergeCell ref="Z108:Z109"/>
    <mergeCell ref="A107:C107"/>
    <mergeCell ref="A112:A113"/>
    <mergeCell ref="B112:B113"/>
    <mergeCell ref="C112:C113"/>
    <mergeCell ref="D112:D113"/>
    <mergeCell ref="AE114:AE115"/>
    <mergeCell ref="A108:A109"/>
    <mergeCell ref="B108:B109"/>
    <mergeCell ref="C108:C109"/>
    <mergeCell ref="D108:D109"/>
    <mergeCell ref="G108:G109"/>
    <mergeCell ref="H108:H109"/>
    <mergeCell ref="S108:S109"/>
    <mergeCell ref="T108:T109"/>
    <mergeCell ref="A114:A115"/>
    <mergeCell ref="B114:B115"/>
    <mergeCell ref="C114:C115"/>
    <mergeCell ref="D114:D115"/>
    <mergeCell ref="AA114:AA115"/>
    <mergeCell ref="A119:AE119"/>
    <mergeCell ref="A121:A122"/>
    <mergeCell ref="B121:B122"/>
    <mergeCell ref="C121:C122"/>
    <mergeCell ref="D121:D122"/>
    <mergeCell ref="G121:G122"/>
    <mergeCell ref="H121:H122"/>
    <mergeCell ref="I121:I122"/>
    <mergeCell ref="J121:R121"/>
    <mergeCell ref="S121:S122"/>
    <mergeCell ref="T121:T122"/>
    <mergeCell ref="U121:U122"/>
    <mergeCell ref="V121:V122"/>
    <mergeCell ref="W121:W122"/>
    <mergeCell ref="X121:X122"/>
    <mergeCell ref="Y121:Y122"/>
    <mergeCell ref="Z121:Z122"/>
    <mergeCell ref="AA121:AA122"/>
    <mergeCell ref="AB121:AD121"/>
    <mergeCell ref="AE121:AE122"/>
    <mergeCell ref="A120:D120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A127:A128"/>
    <mergeCell ref="B127:B128"/>
    <mergeCell ref="C127:C128"/>
    <mergeCell ref="D127:D128"/>
    <mergeCell ref="E127:E128"/>
    <mergeCell ref="A129:A130"/>
    <mergeCell ref="B129:B130"/>
    <mergeCell ref="C129:C130"/>
    <mergeCell ref="D129:D130"/>
    <mergeCell ref="E129:E130"/>
    <mergeCell ref="A131:A132"/>
    <mergeCell ref="B131:B132"/>
    <mergeCell ref="C131:C132"/>
    <mergeCell ref="D131:D132"/>
    <mergeCell ref="E131:E132"/>
    <mergeCell ref="A133:A134"/>
    <mergeCell ref="B133:B134"/>
    <mergeCell ref="C133:C134"/>
    <mergeCell ref="D133:D134"/>
    <mergeCell ref="E133:E134"/>
    <mergeCell ref="A135:A136"/>
    <mergeCell ref="B135:B136"/>
    <mergeCell ref="C135:C136"/>
    <mergeCell ref="D135:D136"/>
    <mergeCell ref="E135:E136"/>
    <mergeCell ref="A137:A138"/>
    <mergeCell ref="B137:B138"/>
    <mergeCell ref="C137:C138"/>
    <mergeCell ref="D137:D138"/>
    <mergeCell ref="E137:E138"/>
    <mergeCell ref="A145:A146"/>
    <mergeCell ref="B145:B146"/>
    <mergeCell ref="C145:C146"/>
    <mergeCell ref="D145:D146"/>
    <mergeCell ref="E145:E146"/>
    <mergeCell ref="AA145:AA146"/>
    <mergeCell ref="AE145:AE146"/>
    <mergeCell ref="A143:A144"/>
    <mergeCell ref="B143:B144"/>
    <mergeCell ref="C143:C144"/>
    <mergeCell ref="D143:D144"/>
    <mergeCell ref="E143:E144"/>
    <mergeCell ref="A139:A140"/>
    <mergeCell ref="B139:B140"/>
    <mergeCell ref="C139:C140"/>
    <mergeCell ref="D139:D140"/>
    <mergeCell ref="E139:E140"/>
    <mergeCell ref="A141:A142"/>
    <mergeCell ref="B141:B142"/>
    <mergeCell ref="C141:C142"/>
    <mergeCell ref="D141:D142"/>
    <mergeCell ref="E141:E142"/>
    <mergeCell ref="B147:B148"/>
    <mergeCell ref="C147:C148"/>
    <mergeCell ref="D147:D148"/>
    <mergeCell ref="E147:E148"/>
    <mergeCell ref="A162:AA162"/>
    <mergeCell ref="E157:E158"/>
    <mergeCell ref="E159:E160"/>
    <mergeCell ref="B169:B170"/>
    <mergeCell ref="C169:C170"/>
    <mergeCell ref="D169:D170"/>
    <mergeCell ref="E169:E170"/>
    <mergeCell ref="AA169:AA170"/>
    <mergeCell ref="A164:C164"/>
    <mergeCell ref="E167:E168"/>
    <mergeCell ref="AA167:AA168"/>
    <mergeCell ref="W153:W154"/>
    <mergeCell ref="X153:X154"/>
    <mergeCell ref="Y153:Y154"/>
    <mergeCell ref="AA147:AA148"/>
    <mergeCell ref="AA159:AA160"/>
    <mergeCell ref="A151:AE151"/>
    <mergeCell ref="AE147:AE148"/>
    <mergeCell ref="A147:A148"/>
    <mergeCell ref="AE167:AE168"/>
    <mergeCell ref="V195:V196"/>
    <mergeCell ref="W195:W196"/>
    <mergeCell ref="X195:X196"/>
    <mergeCell ref="Y195:Y196"/>
    <mergeCell ref="A207:A208"/>
    <mergeCell ref="B207:B208"/>
    <mergeCell ref="C207:C208"/>
    <mergeCell ref="D207:D208"/>
    <mergeCell ref="A149:H149"/>
    <mergeCell ref="A150:AA150"/>
    <mergeCell ref="AA175:AA176"/>
    <mergeCell ref="AA181:AA182"/>
    <mergeCell ref="A183:A184"/>
    <mergeCell ref="B183:B184"/>
    <mergeCell ref="C183:C184"/>
    <mergeCell ref="D183:D184"/>
    <mergeCell ref="A189:A190"/>
    <mergeCell ref="B189:B190"/>
    <mergeCell ref="C189:C190"/>
    <mergeCell ref="D189:D190"/>
    <mergeCell ref="AA189:AA190"/>
    <mergeCell ref="C203:C204"/>
    <mergeCell ref="D203:D204"/>
    <mergeCell ref="E203:E204"/>
    <mergeCell ref="AE212:AE213"/>
    <mergeCell ref="Z195:Z196"/>
    <mergeCell ref="AA195:AA196"/>
    <mergeCell ref="AB195:AD195"/>
    <mergeCell ref="AE195:AE196"/>
    <mergeCell ref="E207:E208"/>
    <mergeCell ref="AA207:AA208"/>
    <mergeCell ref="AE207:AE208"/>
    <mergeCell ref="A171:A172"/>
    <mergeCell ref="B171:B172"/>
    <mergeCell ref="C171:C172"/>
    <mergeCell ref="D171:D172"/>
    <mergeCell ref="A193:AE193"/>
    <mergeCell ref="A195:A196"/>
    <mergeCell ref="B195:B196"/>
    <mergeCell ref="C195:C196"/>
    <mergeCell ref="D195:D196"/>
    <mergeCell ref="G195:G196"/>
    <mergeCell ref="H195:H196"/>
    <mergeCell ref="I195:I196"/>
    <mergeCell ref="J195:R195"/>
    <mergeCell ref="S195:S196"/>
    <mergeCell ref="T195:T196"/>
    <mergeCell ref="U195:U196"/>
    <mergeCell ref="AE183:AE184"/>
    <mergeCell ref="AE181:AE182"/>
    <mergeCell ref="E189:E190"/>
    <mergeCell ref="A214:H214"/>
    <mergeCell ref="E171:E172"/>
    <mergeCell ref="AA171:AA172"/>
    <mergeCell ref="AE171:AE172"/>
    <mergeCell ref="A173:A174"/>
    <mergeCell ref="B173:B174"/>
    <mergeCell ref="C173:C174"/>
    <mergeCell ref="D173:D174"/>
    <mergeCell ref="E173:E174"/>
    <mergeCell ref="AA173:AA174"/>
    <mergeCell ref="AE173:AE174"/>
    <mergeCell ref="S212:S213"/>
    <mergeCell ref="T212:T213"/>
    <mergeCell ref="U212:U213"/>
    <mergeCell ref="V212:V213"/>
    <mergeCell ref="W212:W213"/>
    <mergeCell ref="X212:X213"/>
    <mergeCell ref="Y212:Y213"/>
    <mergeCell ref="Z212:Z213"/>
    <mergeCell ref="AA212:AA213"/>
    <mergeCell ref="AB212:AD212"/>
    <mergeCell ref="AE189:AE190"/>
    <mergeCell ref="AE175:AE176"/>
    <mergeCell ref="A177:A178"/>
    <mergeCell ref="B177:B178"/>
    <mergeCell ref="C177:C178"/>
    <mergeCell ref="D177:D178"/>
    <mergeCell ref="E177:E178"/>
    <mergeCell ref="AA177:AA178"/>
    <mergeCell ref="AE177:AE178"/>
    <mergeCell ref="A179:A180"/>
    <mergeCell ref="B179:B180"/>
    <mergeCell ref="C179:C180"/>
    <mergeCell ref="D179:D180"/>
    <mergeCell ref="E179:E180"/>
    <mergeCell ref="AE179:AE180"/>
    <mergeCell ref="AA185:AA186"/>
    <mergeCell ref="AA187:AA188"/>
    <mergeCell ref="E183:E184"/>
    <mergeCell ref="A185:A186"/>
    <mergeCell ref="B185:B186"/>
    <mergeCell ref="C185:C186"/>
    <mergeCell ref="D185:D186"/>
    <mergeCell ref="E185:E186"/>
    <mergeCell ref="AE185:AE186"/>
    <mergeCell ref="A187:A188"/>
    <mergeCell ref="B187:B188"/>
    <mergeCell ref="C187:C188"/>
    <mergeCell ref="D187:D188"/>
    <mergeCell ref="E187:E188"/>
    <mergeCell ref="AE187:AE188"/>
    <mergeCell ref="A212:A213"/>
    <mergeCell ref="B212:B213"/>
    <mergeCell ref="C212:C213"/>
    <mergeCell ref="D212:D213"/>
    <mergeCell ref="G212:G213"/>
    <mergeCell ref="H212:H213"/>
    <mergeCell ref="I212:I213"/>
    <mergeCell ref="J212:R212"/>
    <mergeCell ref="A191:H191"/>
    <mergeCell ref="A194:C194"/>
    <mergeCell ref="A197:A198"/>
    <mergeCell ref="B197:B198"/>
    <mergeCell ref="C197:C198"/>
    <mergeCell ref="D197:D198"/>
    <mergeCell ref="E197:E198"/>
    <mergeCell ref="A203:A204"/>
    <mergeCell ref="B203:B204"/>
    <mergeCell ref="A209:H209"/>
    <mergeCell ref="AE169:AE170"/>
    <mergeCell ref="W165:W166"/>
    <mergeCell ref="X165:X166"/>
    <mergeCell ref="Y165:Y166"/>
    <mergeCell ref="Z165:Z166"/>
    <mergeCell ref="AA165:AA166"/>
    <mergeCell ref="AB165:AD165"/>
    <mergeCell ref="A165:A166"/>
    <mergeCell ref="B165:B166"/>
    <mergeCell ref="C165:C166"/>
    <mergeCell ref="D165:D166"/>
    <mergeCell ref="G165:G166"/>
    <mergeCell ref="H165:H166"/>
    <mergeCell ref="I165:I166"/>
    <mergeCell ref="J165:R165"/>
    <mergeCell ref="S165:S166"/>
    <mergeCell ref="C167:C168"/>
    <mergeCell ref="D167:D168"/>
    <mergeCell ref="AE165:AE166"/>
    <mergeCell ref="T165:T166"/>
    <mergeCell ref="U165:U166"/>
    <mergeCell ref="V165:V166"/>
    <mergeCell ref="A169:A170"/>
    <mergeCell ref="A181:A182"/>
    <mergeCell ref="B181:B182"/>
    <mergeCell ref="C181:C182"/>
    <mergeCell ref="D181:D182"/>
    <mergeCell ref="E181:E182"/>
    <mergeCell ref="S153:S154"/>
    <mergeCell ref="T153:T154"/>
    <mergeCell ref="U153:U154"/>
    <mergeCell ref="V153:V154"/>
    <mergeCell ref="A175:A176"/>
    <mergeCell ref="B175:B176"/>
    <mergeCell ref="C175:C176"/>
    <mergeCell ref="D175:D176"/>
    <mergeCell ref="E175:E176"/>
    <mergeCell ref="A159:A160"/>
    <mergeCell ref="B159:B160"/>
    <mergeCell ref="C159:C160"/>
    <mergeCell ref="D159:D160"/>
    <mergeCell ref="A163:AE163"/>
    <mergeCell ref="AB153:AD153"/>
    <mergeCell ref="A167:A168"/>
    <mergeCell ref="B167:B168"/>
    <mergeCell ref="AE153:AE154"/>
    <mergeCell ref="A155:A156"/>
    <mergeCell ref="AE159:AE160"/>
    <mergeCell ref="A161:H161"/>
    <mergeCell ref="Z153:Z154"/>
    <mergeCell ref="AA153:AA154"/>
    <mergeCell ref="A153:A154"/>
    <mergeCell ref="B153:B154"/>
    <mergeCell ref="C153:C154"/>
    <mergeCell ref="D153:D154"/>
    <mergeCell ref="G153:G154"/>
    <mergeCell ref="H153:H154"/>
    <mergeCell ref="I153:I154"/>
    <mergeCell ref="J153:R153"/>
    <mergeCell ref="B155:B156"/>
    <mergeCell ref="C155:C156"/>
    <mergeCell ref="D155:D156"/>
    <mergeCell ref="AA155:AA156"/>
    <mergeCell ref="AE155:AE156"/>
    <mergeCell ref="A157:A158"/>
    <mergeCell ref="B157:B158"/>
    <mergeCell ref="C157:C158"/>
    <mergeCell ref="D157:D158"/>
    <mergeCell ref="AA157:AA158"/>
    <mergeCell ref="AE157:AE158"/>
    <mergeCell ref="E155:E156"/>
    <mergeCell ref="AA197:AA198"/>
    <mergeCell ref="AE197:AE198"/>
    <mergeCell ref="A199:A200"/>
    <mergeCell ref="B199:B200"/>
    <mergeCell ref="C199:C200"/>
    <mergeCell ref="D199:D200"/>
    <mergeCell ref="E199:E200"/>
    <mergeCell ref="AE199:AE200"/>
    <mergeCell ref="A201:A202"/>
    <mergeCell ref="B201:B202"/>
    <mergeCell ref="C201:C202"/>
    <mergeCell ref="D201:D202"/>
    <mergeCell ref="E201:E202"/>
    <mergeCell ref="AA201:AA202"/>
    <mergeCell ref="AE201:AE202"/>
    <mergeCell ref="A205:A206"/>
    <mergeCell ref="B205:B206"/>
    <mergeCell ref="C205:C206"/>
    <mergeCell ref="D205:D206"/>
    <mergeCell ref="E205:E206"/>
    <mergeCell ref="AA205:AA206"/>
    <mergeCell ref="AE205:AE206"/>
    <mergeCell ref="AA203:AA204"/>
    <mergeCell ref="AE203:AE204"/>
  </mergeCells>
  <phoneticPr fontId="5" type="noConversion"/>
  <pageMargins left="0.2" right="0.19" top="0.47" bottom="0.23" header="0.31496062992125984" footer="0.13"/>
  <pageSetup paperSize="9" scale="45" fitToHeight="0" orientation="landscape" horizontalDpi="4294967293" verticalDpi="4294967293" r:id="rId1"/>
  <colBreaks count="1" manualBreakCount="1">
    <brk id="31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zoomScaleNormal="100" workbookViewId="0">
      <pane xSplit="3" ySplit="4" topLeftCell="D5" activePane="bottomRight" state="frozen"/>
      <selection activeCell="M17" sqref="M17"/>
      <selection pane="topRight" activeCell="M17" sqref="M17"/>
      <selection pane="bottomLeft" activeCell="M17" sqref="M17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hidden="1" customWidth="1"/>
    <col min="15" max="15" width="10.125" style="1" hidden="1" customWidth="1"/>
    <col min="16" max="16" width="11.62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452" t="s">
        <v>64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  <c r="P1" s="1452"/>
      <c r="Q1" s="1452"/>
      <c r="R1" s="1452"/>
      <c r="S1" s="1452"/>
      <c r="T1" s="1452"/>
      <c r="U1" s="1452"/>
      <c r="V1" s="1452"/>
      <c r="W1" s="1452"/>
      <c r="X1" s="1452"/>
      <c r="Y1" s="1452"/>
      <c r="Z1" s="1452"/>
      <c r="AA1" s="1452"/>
      <c r="AB1" s="1452"/>
      <c r="AC1" s="1452"/>
    </row>
    <row r="2" spans="1:29" ht="16.5" customHeight="1" x14ac:dyDescent="0.15">
      <c r="A2" s="1453" t="s">
        <v>886</v>
      </c>
      <c r="B2" s="1454"/>
      <c r="C2" s="1454"/>
      <c r="D2" s="1454"/>
      <c r="E2" s="1454"/>
      <c r="F2" s="145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446" t="s">
        <v>47</v>
      </c>
      <c r="B3" s="1446" t="s">
        <v>48</v>
      </c>
      <c r="C3" s="1446" t="s">
        <v>72</v>
      </c>
      <c r="D3" s="1446" t="s">
        <v>169</v>
      </c>
      <c r="E3" s="848"/>
      <c r="F3" s="848"/>
      <c r="G3" s="1446" t="s">
        <v>49</v>
      </c>
      <c r="H3" s="1444" t="s">
        <v>165</v>
      </c>
      <c r="I3" s="1444" t="s">
        <v>74</v>
      </c>
      <c r="J3" s="1448" t="s">
        <v>62</v>
      </c>
      <c r="K3" s="1449"/>
      <c r="L3" s="1449"/>
      <c r="M3" s="1449"/>
      <c r="N3" s="1449"/>
      <c r="O3" s="1449"/>
      <c r="P3" s="1450"/>
      <c r="Q3" s="1442" t="s">
        <v>53</v>
      </c>
      <c r="R3" s="1442" t="s">
        <v>160</v>
      </c>
      <c r="S3" s="1442" t="s">
        <v>161</v>
      </c>
      <c r="T3" s="1442" t="s">
        <v>164</v>
      </c>
      <c r="U3" s="1442" t="s">
        <v>162</v>
      </c>
      <c r="V3" s="1442" t="s">
        <v>163</v>
      </c>
      <c r="W3" s="1442" t="s">
        <v>230</v>
      </c>
      <c r="X3" s="1442" t="s">
        <v>170</v>
      </c>
      <c r="Y3" s="1444" t="s">
        <v>71</v>
      </c>
      <c r="Z3" s="1448" t="s">
        <v>68</v>
      </c>
      <c r="AA3" s="1449"/>
      <c r="AB3" s="1450"/>
      <c r="AC3" s="1444" t="s">
        <v>50</v>
      </c>
    </row>
    <row r="4" spans="1:29" ht="24.75" customHeight="1" x14ac:dyDescent="0.15">
      <c r="A4" s="1447"/>
      <c r="B4" s="1447"/>
      <c r="C4" s="1447"/>
      <c r="D4" s="1447"/>
      <c r="E4" s="849"/>
      <c r="F4" s="849"/>
      <c r="G4" s="1447"/>
      <c r="H4" s="1445"/>
      <c r="I4" s="1445"/>
      <c r="J4" s="850" t="s">
        <v>441</v>
      </c>
      <c r="K4" s="850" t="s">
        <v>157</v>
      </c>
      <c r="L4" s="850" t="s">
        <v>168</v>
      </c>
      <c r="M4" s="850" t="s">
        <v>158</v>
      </c>
      <c r="N4" s="851" t="s">
        <v>159</v>
      </c>
      <c r="O4" s="851" t="s">
        <v>231</v>
      </c>
      <c r="P4" s="850" t="s">
        <v>63</v>
      </c>
      <c r="Q4" s="1443"/>
      <c r="R4" s="1443"/>
      <c r="S4" s="1443"/>
      <c r="T4" s="1443"/>
      <c r="U4" s="1443"/>
      <c r="V4" s="1443"/>
      <c r="W4" s="1443"/>
      <c r="X4" s="1443"/>
      <c r="Y4" s="1445"/>
      <c r="Z4" s="852" t="s">
        <v>228</v>
      </c>
      <c r="AA4" s="852" t="s">
        <v>229</v>
      </c>
      <c r="AB4" s="853" t="s">
        <v>69</v>
      </c>
      <c r="AC4" s="1445"/>
    </row>
    <row r="5" spans="1:29" ht="24" customHeight="1" x14ac:dyDescent="0.15">
      <c r="A5" s="1430">
        <v>1</v>
      </c>
      <c r="B5" s="1432" t="s">
        <v>193</v>
      </c>
      <c r="C5" s="1432" t="s">
        <v>226</v>
      </c>
      <c r="D5" s="1432">
        <v>8</v>
      </c>
      <c r="E5" s="1432">
        <f>F5+F6</f>
        <v>12</v>
      </c>
      <c r="F5" s="854">
        <v>7</v>
      </c>
      <c r="G5" s="855" t="s">
        <v>212</v>
      </c>
      <c r="H5" s="864">
        <v>1873000</v>
      </c>
      <c r="I5" s="865">
        <f t="shared" ref="I5:I17" si="0">H5*F5</f>
        <v>13111000</v>
      </c>
      <c r="J5" s="866">
        <f>H5*60%</f>
        <v>1123800</v>
      </c>
      <c r="K5" s="867"/>
      <c r="L5" s="868">
        <f>ROUND(H5*1/209*1.5,-1)</f>
        <v>13440</v>
      </c>
      <c r="M5" s="869">
        <f>(L5*40)*F5</f>
        <v>3763200</v>
      </c>
      <c r="N5" s="869"/>
      <c r="O5" s="869"/>
      <c r="P5" s="870">
        <f>SUM(J5,K5,M5,N5,O5)</f>
        <v>4887000</v>
      </c>
      <c r="Q5" s="871">
        <f>ROUNDUP((P5+I5)*1/12,-1)</f>
        <v>1499840</v>
      </c>
      <c r="R5" s="871">
        <f>ROUND((I5+P5)*4.5%,-1)</f>
        <v>809910</v>
      </c>
      <c r="S5" s="871">
        <f>ROUNDUP((I5+P5)*3.335%,-1)</f>
        <v>600240</v>
      </c>
      <c r="T5" s="871">
        <f t="shared" ref="T5:T28" si="1">ROUNDUP(S5*10.25%,-1)</f>
        <v>61530</v>
      </c>
      <c r="U5" s="871">
        <f>ROUND((I5+P5)*1.05%,-1)</f>
        <v>188980</v>
      </c>
      <c r="V5" s="871">
        <f>ROUND((I5+P5)*0.8%,-1)</f>
        <v>143980</v>
      </c>
      <c r="W5" s="869">
        <f>SUM(R5:V5)</f>
        <v>1804640</v>
      </c>
      <c r="X5" s="872">
        <f>SUM(Q5,W5)</f>
        <v>3304480</v>
      </c>
      <c r="Y5" s="1434">
        <f>SUM(X5,X6,P5,P6,I5,I6)</f>
        <v>37364440</v>
      </c>
      <c r="Z5" s="873">
        <f>200000*12</f>
        <v>2400000</v>
      </c>
      <c r="AA5" s="873">
        <f>50000*12</f>
        <v>600000</v>
      </c>
      <c r="AB5" s="873">
        <f>AA5+Z5</f>
        <v>3000000</v>
      </c>
      <c r="AC5" s="1430"/>
    </row>
    <row r="6" spans="1:29" ht="24" customHeight="1" x14ac:dyDescent="0.15">
      <c r="A6" s="1431"/>
      <c r="B6" s="1433"/>
      <c r="C6" s="1433"/>
      <c r="D6" s="1433"/>
      <c r="E6" s="1433"/>
      <c r="F6" s="859">
        <v>5</v>
      </c>
      <c r="G6" s="882">
        <f>G5+1</f>
        <v>3</v>
      </c>
      <c r="H6" s="864">
        <v>1929000</v>
      </c>
      <c r="I6" s="865">
        <f t="shared" si="0"/>
        <v>9645000</v>
      </c>
      <c r="J6" s="866">
        <f>H6*60%</f>
        <v>1157400</v>
      </c>
      <c r="K6" s="867"/>
      <c r="L6" s="875">
        <f>ROUND(H6*1/209*1.5,-1)</f>
        <v>13840</v>
      </c>
      <c r="M6" s="869">
        <f>(L6*40)*F6</f>
        <v>2768000</v>
      </c>
      <c r="N6" s="869"/>
      <c r="O6" s="869"/>
      <c r="P6" s="870">
        <f>SUM(J6,K6,M6,N6,O6)</f>
        <v>3925400</v>
      </c>
      <c r="Q6" s="887">
        <f>ROUNDUP((P6+I6)*1/12,-1)</f>
        <v>1130870</v>
      </c>
      <c r="R6" s="871">
        <f>ROUND((I6+P6)*4.5%,-1)</f>
        <v>610670</v>
      </c>
      <c r="S6" s="871">
        <f>ROUNDUP((I6+P6)*3.335%,-1)</f>
        <v>452580</v>
      </c>
      <c r="T6" s="871">
        <f t="shared" si="1"/>
        <v>46390</v>
      </c>
      <c r="U6" s="871">
        <f>ROUND((I6+P6)*1.05%,-1)</f>
        <v>142490</v>
      </c>
      <c r="V6" s="871">
        <f>ROUND((I6+P6)*0.8%,-1)</f>
        <v>108560</v>
      </c>
      <c r="W6" s="869">
        <f>SUM(R6:V6)</f>
        <v>1360690</v>
      </c>
      <c r="X6" s="872">
        <f>SUM(Q6,W6)</f>
        <v>2491560</v>
      </c>
      <c r="Y6" s="1435"/>
      <c r="Z6" s="876"/>
      <c r="AA6" s="876"/>
      <c r="AB6" s="876"/>
      <c r="AC6" s="1431"/>
    </row>
    <row r="7" spans="1:29" ht="24" customHeight="1" x14ac:dyDescent="0.15">
      <c r="A7" s="1430">
        <v>2</v>
      </c>
      <c r="B7" s="1432" t="s">
        <v>193</v>
      </c>
      <c r="C7" s="1432" t="s">
        <v>224</v>
      </c>
      <c r="D7" s="1432">
        <v>1</v>
      </c>
      <c r="E7" s="1432">
        <f>F7+F8</f>
        <v>12</v>
      </c>
      <c r="F7" s="854">
        <v>12</v>
      </c>
      <c r="G7" s="855" t="s">
        <v>212</v>
      </c>
      <c r="H7" s="864">
        <v>1873000</v>
      </c>
      <c r="I7" s="865">
        <f t="shared" si="0"/>
        <v>22476000</v>
      </c>
      <c r="J7" s="866">
        <f>(H7*60%)*2</f>
        <v>2247600</v>
      </c>
      <c r="K7" s="867"/>
      <c r="L7" s="868">
        <f t="shared" ref="L7:L28" si="2">ROUND(H7*1/209*1.5,-1)</f>
        <v>13440</v>
      </c>
      <c r="M7" s="869">
        <f t="shared" ref="M7:M28" si="3">(L7*40)*F7</f>
        <v>6451200</v>
      </c>
      <c r="N7" s="869"/>
      <c r="O7" s="869"/>
      <c r="P7" s="870">
        <f t="shared" ref="P7:P28" si="4">SUM(J7,K7,M7,N7,O7)</f>
        <v>8698800</v>
      </c>
      <c r="Q7" s="871">
        <f t="shared" ref="Q7:Q28" si="5">ROUNDUP((P7+I7)*1/12,-1)</f>
        <v>2597900</v>
      </c>
      <c r="R7" s="871">
        <f t="shared" ref="R7:R28" si="6">ROUND((I7+P7)*4.5%,-1)</f>
        <v>1402870</v>
      </c>
      <c r="S7" s="871">
        <f t="shared" ref="S7:S28" si="7">ROUNDUP((I7+P7)*3.335%,-1)</f>
        <v>1039680</v>
      </c>
      <c r="T7" s="871">
        <f t="shared" si="1"/>
        <v>106570</v>
      </c>
      <c r="U7" s="871">
        <f t="shared" ref="U7:U28" si="8">ROUND((I7+P7)*1.05%,-1)</f>
        <v>327340</v>
      </c>
      <c r="V7" s="871">
        <f t="shared" ref="V7:V28" si="9">ROUND((I7+P7)*0.8%,-1)</f>
        <v>249400</v>
      </c>
      <c r="W7" s="869">
        <f t="shared" ref="W7:W28" si="10">SUM(R7:V7)</f>
        <v>3125860</v>
      </c>
      <c r="X7" s="872">
        <f t="shared" ref="X7:X28" si="11">SUM(Q7,W7)</f>
        <v>5723760</v>
      </c>
      <c r="Y7" s="1434">
        <f>SUM(X7,X8,P7,P8,I7,I8)</f>
        <v>36898560</v>
      </c>
      <c r="Z7" s="873">
        <f>200000*12</f>
        <v>2400000</v>
      </c>
      <c r="AA7" s="873">
        <f t="shared" ref="AA7:AA27" si="12">50000*12</f>
        <v>600000</v>
      </c>
      <c r="AB7" s="873">
        <f>AA7+Z7</f>
        <v>3000000</v>
      </c>
      <c r="AC7" s="1430"/>
    </row>
    <row r="8" spans="1:29" ht="24" customHeight="1" x14ac:dyDescent="0.15">
      <c r="A8" s="1431"/>
      <c r="B8" s="1433"/>
      <c r="C8" s="1433"/>
      <c r="D8" s="1433"/>
      <c r="E8" s="1433"/>
      <c r="F8" s="859"/>
      <c r="G8" s="855"/>
      <c r="H8" s="864"/>
      <c r="I8" s="865">
        <f t="shared" si="0"/>
        <v>0</v>
      </c>
      <c r="J8" s="866">
        <f>H8*60%</f>
        <v>0</v>
      </c>
      <c r="K8" s="867"/>
      <c r="L8" s="875">
        <f t="shared" si="2"/>
        <v>0</v>
      </c>
      <c r="M8" s="869">
        <f t="shared" si="3"/>
        <v>0</v>
      </c>
      <c r="N8" s="869"/>
      <c r="O8" s="869"/>
      <c r="P8" s="870">
        <f t="shared" si="4"/>
        <v>0</v>
      </c>
      <c r="Q8" s="887">
        <f t="shared" si="5"/>
        <v>0</v>
      </c>
      <c r="R8" s="871">
        <f t="shared" si="6"/>
        <v>0</v>
      </c>
      <c r="S8" s="871">
        <f t="shared" si="7"/>
        <v>0</v>
      </c>
      <c r="T8" s="871">
        <f t="shared" si="1"/>
        <v>0</v>
      </c>
      <c r="U8" s="871">
        <f t="shared" si="8"/>
        <v>0</v>
      </c>
      <c r="V8" s="871">
        <f t="shared" si="9"/>
        <v>0</v>
      </c>
      <c r="W8" s="869">
        <f t="shared" si="10"/>
        <v>0</v>
      </c>
      <c r="X8" s="872">
        <f t="shared" si="11"/>
        <v>0</v>
      </c>
      <c r="Y8" s="1435"/>
      <c r="Z8" s="876"/>
      <c r="AA8" s="876"/>
      <c r="AB8" s="876"/>
      <c r="AC8" s="1431"/>
    </row>
    <row r="9" spans="1:29" ht="24" customHeight="1" x14ac:dyDescent="0.15">
      <c r="A9" s="1430">
        <v>3</v>
      </c>
      <c r="B9" s="1432" t="s">
        <v>193</v>
      </c>
      <c r="C9" s="1432" t="s">
        <v>314</v>
      </c>
      <c r="D9" s="1432">
        <v>1</v>
      </c>
      <c r="E9" s="1432">
        <f>F9+F10</f>
        <v>12</v>
      </c>
      <c r="F9" s="854">
        <v>12</v>
      </c>
      <c r="G9" s="855" t="s">
        <v>197</v>
      </c>
      <c r="H9" s="864">
        <v>1987000</v>
      </c>
      <c r="I9" s="865">
        <f t="shared" si="0"/>
        <v>23844000</v>
      </c>
      <c r="J9" s="866">
        <f>(H9*60%)*2</f>
        <v>2384400</v>
      </c>
      <c r="K9" s="867"/>
      <c r="L9" s="868">
        <f t="shared" si="2"/>
        <v>14260</v>
      </c>
      <c r="M9" s="869">
        <f>(L9*40)*F9</f>
        <v>6844800</v>
      </c>
      <c r="N9" s="869"/>
      <c r="O9" s="869"/>
      <c r="P9" s="870">
        <f t="shared" si="4"/>
        <v>9229200</v>
      </c>
      <c r="Q9" s="871">
        <f t="shared" si="5"/>
        <v>2756100</v>
      </c>
      <c r="R9" s="871">
        <f t="shared" si="6"/>
        <v>1488290</v>
      </c>
      <c r="S9" s="871">
        <f t="shared" si="7"/>
        <v>1103000</v>
      </c>
      <c r="T9" s="871">
        <f t="shared" si="1"/>
        <v>113060</v>
      </c>
      <c r="U9" s="871">
        <f t="shared" si="8"/>
        <v>347270</v>
      </c>
      <c r="V9" s="871">
        <f t="shared" si="9"/>
        <v>264590</v>
      </c>
      <c r="W9" s="869">
        <f t="shared" si="10"/>
        <v>3316210</v>
      </c>
      <c r="X9" s="872">
        <f t="shared" si="11"/>
        <v>6072310</v>
      </c>
      <c r="Y9" s="1434">
        <f>SUM(X9,X10,P9,P10,I9,I10)</f>
        <v>39145510</v>
      </c>
      <c r="Z9" s="873">
        <f>200000*12</f>
        <v>2400000</v>
      </c>
      <c r="AA9" s="873">
        <f t="shared" si="12"/>
        <v>600000</v>
      </c>
      <c r="AB9" s="873">
        <f>AA9+Z9</f>
        <v>3000000</v>
      </c>
      <c r="AC9" s="1430"/>
    </row>
    <row r="10" spans="1:29" ht="24" customHeight="1" x14ac:dyDescent="0.15">
      <c r="A10" s="1431"/>
      <c r="B10" s="1433"/>
      <c r="C10" s="1433"/>
      <c r="D10" s="1433"/>
      <c r="E10" s="1433"/>
      <c r="F10" s="859"/>
      <c r="G10" s="855"/>
      <c r="H10" s="864"/>
      <c r="I10" s="865">
        <f t="shared" si="0"/>
        <v>0</v>
      </c>
      <c r="J10" s="866">
        <f>H10*60%</f>
        <v>0</v>
      </c>
      <c r="K10" s="867"/>
      <c r="L10" s="875">
        <f t="shared" si="2"/>
        <v>0</v>
      </c>
      <c r="M10" s="869">
        <f t="shared" si="3"/>
        <v>0</v>
      </c>
      <c r="N10" s="869"/>
      <c r="O10" s="869"/>
      <c r="P10" s="870">
        <f t="shared" si="4"/>
        <v>0</v>
      </c>
      <c r="Q10" s="887">
        <f t="shared" si="5"/>
        <v>0</v>
      </c>
      <c r="R10" s="871">
        <f t="shared" si="6"/>
        <v>0</v>
      </c>
      <c r="S10" s="871">
        <f>ROUNDUP((I10+P10)*3.335%,-1)</f>
        <v>0</v>
      </c>
      <c r="T10" s="871">
        <f t="shared" si="1"/>
        <v>0</v>
      </c>
      <c r="U10" s="871">
        <f t="shared" si="8"/>
        <v>0</v>
      </c>
      <c r="V10" s="871">
        <f t="shared" si="9"/>
        <v>0</v>
      </c>
      <c r="W10" s="869">
        <f t="shared" si="10"/>
        <v>0</v>
      </c>
      <c r="X10" s="872">
        <f t="shared" si="11"/>
        <v>0</v>
      </c>
      <c r="Y10" s="1435"/>
      <c r="Z10" s="876"/>
      <c r="AA10" s="876"/>
      <c r="AB10" s="876"/>
      <c r="AC10" s="1431"/>
    </row>
    <row r="11" spans="1:29" ht="24" customHeight="1" x14ac:dyDescent="0.15">
      <c r="A11" s="1430">
        <v>4</v>
      </c>
      <c r="B11" s="1432" t="s">
        <v>193</v>
      </c>
      <c r="C11" s="1432" t="s">
        <v>315</v>
      </c>
      <c r="D11" s="1432">
        <v>10</v>
      </c>
      <c r="E11" s="1432">
        <f>F11+F12</f>
        <v>12</v>
      </c>
      <c r="F11" s="854">
        <v>9</v>
      </c>
      <c r="G11" s="855" t="s">
        <v>213</v>
      </c>
      <c r="H11" s="864">
        <v>1929000</v>
      </c>
      <c r="I11" s="865">
        <f t="shared" si="0"/>
        <v>17361000</v>
      </c>
      <c r="J11" s="866">
        <f>H11*60%</f>
        <v>1157400</v>
      </c>
      <c r="K11" s="867"/>
      <c r="L11" s="868">
        <f t="shared" si="2"/>
        <v>13840</v>
      </c>
      <c r="M11" s="869">
        <f t="shared" si="3"/>
        <v>4982400</v>
      </c>
      <c r="N11" s="869"/>
      <c r="O11" s="869"/>
      <c r="P11" s="870">
        <f t="shared" si="4"/>
        <v>6139800</v>
      </c>
      <c r="Q11" s="871">
        <f t="shared" si="5"/>
        <v>1958400</v>
      </c>
      <c r="R11" s="871">
        <f t="shared" si="6"/>
        <v>1057540</v>
      </c>
      <c r="S11" s="871">
        <f t="shared" si="7"/>
        <v>783760</v>
      </c>
      <c r="T11" s="871">
        <f t="shared" si="1"/>
        <v>80340</v>
      </c>
      <c r="U11" s="871">
        <f t="shared" si="8"/>
        <v>246760</v>
      </c>
      <c r="V11" s="871">
        <f t="shared" si="9"/>
        <v>188010</v>
      </c>
      <c r="W11" s="869">
        <f t="shared" si="10"/>
        <v>2356410</v>
      </c>
      <c r="X11" s="872">
        <f t="shared" si="11"/>
        <v>4314810</v>
      </c>
      <c r="Y11" s="1434">
        <f>SUM(X11,X12,P11,P12,I11,I12)</f>
        <v>38307550</v>
      </c>
      <c r="Z11" s="873">
        <f>200000*12</f>
        <v>2400000</v>
      </c>
      <c r="AA11" s="873">
        <f t="shared" si="12"/>
        <v>600000</v>
      </c>
      <c r="AB11" s="873">
        <f>AA11+Z11</f>
        <v>3000000</v>
      </c>
      <c r="AC11" s="1430"/>
    </row>
    <row r="12" spans="1:29" ht="24" customHeight="1" x14ac:dyDescent="0.15">
      <c r="A12" s="1431"/>
      <c r="B12" s="1433"/>
      <c r="C12" s="1433"/>
      <c r="D12" s="1433"/>
      <c r="E12" s="1433"/>
      <c r="F12" s="859">
        <v>3</v>
      </c>
      <c r="G12" s="882">
        <f>G11+1</f>
        <v>4</v>
      </c>
      <c r="H12" s="864">
        <v>1987000</v>
      </c>
      <c r="I12" s="865">
        <f t="shared" si="0"/>
        <v>5961000</v>
      </c>
      <c r="J12" s="866">
        <f>H12*60%</f>
        <v>1192200</v>
      </c>
      <c r="K12" s="867"/>
      <c r="L12" s="875">
        <f t="shared" si="2"/>
        <v>14260</v>
      </c>
      <c r="M12" s="869">
        <f t="shared" si="3"/>
        <v>1711200</v>
      </c>
      <c r="N12" s="869"/>
      <c r="O12" s="869"/>
      <c r="P12" s="870">
        <f t="shared" si="4"/>
        <v>2903400</v>
      </c>
      <c r="Q12" s="887">
        <f t="shared" si="5"/>
        <v>738700</v>
      </c>
      <c r="R12" s="871">
        <f t="shared" si="6"/>
        <v>398900</v>
      </c>
      <c r="S12" s="871">
        <f t="shared" si="7"/>
        <v>295630</v>
      </c>
      <c r="T12" s="871">
        <f t="shared" si="1"/>
        <v>30310</v>
      </c>
      <c r="U12" s="871">
        <f t="shared" si="8"/>
        <v>93080</v>
      </c>
      <c r="V12" s="871">
        <f t="shared" si="9"/>
        <v>70920</v>
      </c>
      <c r="W12" s="869">
        <f t="shared" si="10"/>
        <v>888840</v>
      </c>
      <c r="X12" s="872">
        <f t="shared" si="11"/>
        <v>1627540</v>
      </c>
      <c r="Y12" s="1435"/>
      <c r="Z12" s="876"/>
      <c r="AA12" s="876"/>
      <c r="AB12" s="876"/>
      <c r="AC12" s="1431"/>
    </row>
    <row r="13" spans="1:29" ht="24" customHeight="1" x14ac:dyDescent="0.15">
      <c r="A13" s="1430">
        <v>5</v>
      </c>
      <c r="B13" s="1432" t="s">
        <v>193</v>
      </c>
      <c r="C13" s="1432" t="s">
        <v>316</v>
      </c>
      <c r="D13" s="1432">
        <v>1</v>
      </c>
      <c r="E13" s="1432">
        <f>F13+F14</f>
        <v>12</v>
      </c>
      <c r="F13" s="854">
        <v>12</v>
      </c>
      <c r="G13" s="855" t="s">
        <v>212</v>
      </c>
      <c r="H13" s="864">
        <v>1873000</v>
      </c>
      <c r="I13" s="865">
        <f t="shared" si="0"/>
        <v>22476000</v>
      </c>
      <c r="J13" s="866">
        <f>(H13*60%)*2</f>
        <v>2247600</v>
      </c>
      <c r="K13" s="867">
        <f>20000*12</f>
        <v>240000</v>
      </c>
      <c r="L13" s="868">
        <f t="shared" si="2"/>
        <v>13440</v>
      </c>
      <c r="M13" s="869">
        <f t="shared" si="3"/>
        <v>6451200</v>
      </c>
      <c r="N13" s="869"/>
      <c r="O13" s="869"/>
      <c r="P13" s="870">
        <f t="shared" si="4"/>
        <v>8938800</v>
      </c>
      <c r="Q13" s="871">
        <f t="shared" si="5"/>
        <v>2617900</v>
      </c>
      <c r="R13" s="871">
        <f t="shared" si="6"/>
        <v>1413670</v>
      </c>
      <c r="S13" s="871">
        <f t="shared" si="7"/>
        <v>1047690</v>
      </c>
      <c r="T13" s="871">
        <f t="shared" si="1"/>
        <v>107390</v>
      </c>
      <c r="U13" s="871">
        <f t="shared" si="8"/>
        <v>329860</v>
      </c>
      <c r="V13" s="871">
        <f t="shared" si="9"/>
        <v>251320</v>
      </c>
      <c r="W13" s="869">
        <f t="shared" si="10"/>
        <v>3149930</v>
      </c>
      <c r="X13" s="872">
        <f t="shared" si="11"/>
        <v>5767830</v>
      </c>
      <c r="Y13" s="1434">
        <f>SUM(X13,X14,P13,P14,I13,I14)</f>
        <v>37182630</v>
      </c>
      <c r="Z13" s="873">
        <f>200000*12</f>
        <v>2400000</v>
      </c>
      <c r="AA13" s="873">
        <f t="shared" si="12"/>
        <v>600000</v>
      </c>
      <c r="AB13" s="873">
        <f>AA13+Z13</f>
        <v>3000000</v>
      </c>
      <c r="AC13" s="1430"/>
    </row>
    <row r="14" spans="1:29" ht="24" customHeight="1" x14ac:dyDescent="0.15">
      <c r="A14" s="1431"/>
      <c r="B14" s="1433"/>
      <c r="C14" s="1433"/>
      <c r="D14" s="1433"/>
      <c r="E14" s="1433"/>
      <c r="F14" s="859"/>
      <c r="G14" s="855"/>
      <c r="H14" s="864"/>
      <c r="I14" s="865">
        <f t="shared" si="0"/>
        <v>0</v>
      </c>
      <c r="J14" s="866"/>
      <c r="K14" s="867"/>
      <c r="L14" s="875">
        <f t="shared" si="2"/>
        <v>0</v>
      </c>
      <c r="M14" s="869">
        <f t="shared" si="3"/>
        <v>0</v>
      </c>
      <c r="N14" s="869"/>
      <c r="O14" s="869"/>
      <c r="P14" s="870">
        <f t="shared" si="4"/>
        <v>0</v>
      </c>
      <c r="Q14" s="887">
        <f t="shared" si="5"/>
        <v>0</v>
      </c>
      <c r="R14" s="871">
        <f t="shared" si="6"/>
        <v>0</v>
      </c>
      <c r="S14" s="871">
        <f t="shared" si="7"/>
        <v>0</v>
      </c>
      <c r="T14" s="871">
        <f t="shared" si="1"/>
        <v>0</v>
      </c>
      <c r="U14" s="871">
        <f t="shared" si="8"/>
        <v>0</v>
      </c>
      <c r="V14" s="871">
        <f t="shared" si="9"/>
        <v>0</v>
      </c>
      <c r="W14" s="869">
        <f t="shared" si="10"/>
        <v>0</v>
      </c>
      <c r="X14" s="872">
        <f t="shared" si="11"/>
        <v>0</v>
      </c>
      <c r="Y14" s="1435"/>
      <c r="Z14" s="876"/>
      <c r="AA14" s="876"/>
      <c r="AB14" s="876"/>
      <c r="AC14" s="1431"/>
    </row>
    <row r="15" spans="1:29" ht="24" customHeight="1" x14ac:dyDescent="0.15">
      <c r="A15" s="1430">
        <v>6</v>
      </c>
      <c r="B15" s="1432" t="s">
        <v>193</v>
      </c>
      <c r="C15" s="1432" t="s">
        <v>317</v>
      </c>
      <c r="D15" s="1432">
        <v>1</v>
      </c>
      <c r="E15" s="1432">
        <f>F15+F16</f>
        <v>12</v>
      </c>
      <c r="F15" s="854">
        <v>12</v>
      </c>
      <c r="G15" s="855" t="s">
        <v>212</v>
      </c>
      <c r="H15" s="864">
        <v>1873000</v>
      </c>
      <c r="I15" s="865">
        <f t="shared" si="0"/>
        <v>22476000</v>
      </c>
      <c r="J15" s="866">
        <f>(H15*60%)*2</f>
        <v>2247600</v>
      </c>
      <c r="K15" s="867"/>
      <c r="L15" s="868">
        <f t="shared" si="2"/>
        <v>13440</v>
      </c>
      <c r="M15" s="869">
        <f t="shared" si="3"/>
        <v>6451200</v>
      </c>
      <c r="N15" s="869"/>
      <c r="O15" s="869"/>
      <c r="P15" s="870">
        <f t="shared" si="4"/>
        <v>8698800</v>
      </c>
      <c r="Q15" s="871">
        <f t="shared" si="5"/>
        <v>2597900</v>
      </c>
      <c r="R15" s="871">
        <f t="shared" si="6"/>
        <v>1402870</v>
      </c>
      <c r="S15" s="871">
        <f t="shared" si="7"/>
        <v>1039680</v>
      </c>
      <c r="T15" s="871">
        <f t="shared" si="1"/>
        <v>106570</v>
      </c>
      <c r="U15" s="871">
        <f t="shared" si="8"/>
        <v>327340</v>
      </c>
      <c r="V15" s="871">
        <f t="shared" si="9"/>
        <v>249400</v>
      </c>
      <c r="W15" s="869">
        <f t="shared" si="10"/>
        <v>3125860</v>
      </c>
      <c r="X15" s="872">
        <f t="shared" si="11"/>
        <v>5723760</v>
      </c>
      <c r="Y15" s="1434">
        <f>SUM(X15,X16,P15,P16,I15,I16)</f>
        <v>36898560</v>
      </c>
      <c r="Z15" s="873">
        <f t="shared" ref="Z15:Z27" si="13">200000*12</f>
        <v>2400000</v>
      </c>
      <c r="AA15" s="873">
        <f t="shared" si="12"/>
        <v>600000</v>
      </c>
      <c r="AB15" s="873">
        <f>AA15+Z15</f>
        <v>3000000</v>
      </c>
      <c r="AC15" s="1430"/>
    </row>
    <row r="16" spans="1:29" ht="24" customHeight="1" x14ac:dyDescent="0.15">
      <c r="A16" s="1431"/>
      <c r="B16" s="1433"/>
      <c r="C16" s="1433"/>
      <c r="D16" s="1433"/>
      <c r="E16" s="1433"/>
      <c r="F16" s="859"/>
      <c r="G16" s="855"/>
      <c r="H16" s="864"/>
      <c r="I16" s="865">
        <f t="shared" si="0"/>
        <v>0</v>
      </c>
      <c r="J16" s="866">
        <f t="shared" ref="J16:J22" si="14">H16*60%</f>
        <v>0</v>
      </c>
      <c r="K16" s="867"/>
      <c r="L16" s="875">
        <f t="shared" si="2"/>
        <v>0</v>
      </c>
      <c r="M16" s="869">
        <f t="shared" si="3"/>
        <v>0</v>
      </c>
      <c r="N16" s="869"/>
      <c r="O16" s="869"/>
      <c r="P16" s="870">
        <f t="shared" si="4"/>
        <v>0</v>
      </c>
      <c r="Q16" s="887">
        <f t="shared" si="5"/>
        <v>0</v>
      </c>
      <c r="R16" s="871">
        <f t="shared" si="6"/>
        <v>0</v>
      </c>
      <c r="S16" s="871">
        <f t="shared" si="7"/>
        <v>0</v>
      </c>
      <c r="T16" s="871">
        <f t="shared" si="1"/>
        <v>0</v>
      </c>
      <c r="U16" s="871">
        <f t="shared" si="8"/>
        <v>0</v>
      </c>
      <c r="V16" s="871">
        <f t="shared" si="9"/>
        <v>0</v>
      </c>
      <c r="W16" s="869">
        <f t="shared" si="10"/>
        <v>0</v>
      </c>
      <c r="X16" s="872">
        <f t="shared" si="11"/>
        <v>0</v>
      </c>
      <c r="Y16" s="1435"/>
      <c r="Z16" s="876"/>
      <c r="AA16" s="876"/>
      <c r="AB16" s="876"/>
      <c r="AC16" s="1431"/>
    </row>
    <row r="17" spans="1:29" ht="24" customHeight="1" x14ac:dyDescent="0.15">
      <c r="A17" s="1430">
        <v>7</v>
      </c>
      <c r="B17" s="1432" t="s">
        <v>193</v>
      </c>
      <c r="C17" s="1432" t="s">
        <v>318</v>
      </c>
      <c r="D17" s="1432">
        <v>6</v>
      </c>
      <c r="E17" s="1432">
        <f>F17+F18</f>
        <v>12</v>
      </c>
      <c r="F17" s="854">
        <v>5</v>
      </c>
      <c r="G17" s="855" t="s">
        <v>197</v>
      </c>
      <c r="H17" s="864">
        <v>1987000</v>
      </c>
      <c r="I17" s="865">
        <f t="shared" si="0"/>
        <v>9935000</v>
      </c>
      <c r="J17" s="866">
        <f t="shared" si="14"/>
        <v>1192200</v>
      </c>
      <c r="K17" s="867">
        <f>20000*12</f>
        <v>240000</v>
      </c>
      <c r="L17" s="868">
        <f t="shared" si="2"/>
        <v>14260</v>
      </c>
      <c r="M17" s="869">
        <f t="shared" si="3"/>
        <v>2852000</v>
      </c>
      <c r="N17" s="869"/>
      <c r="O17" s="869"/>
      <c r="P17" s="870">
        <f t="shared" si="4"/>
        <v>4284200</v>
      </c>
      <c r="Q17" s="871">
        <f t="shared" si="5"/>
        <v>1184940</v>
      </c>
      <c r="R17" s="871">
        <f t="shared" si="6"/>
        <v>639860</v>
      </c>
      <c r="S17" s="871">
        <f t="shared" si="7"/>
        <v>474220</v>
      </c>
      <c r="T17" s="871">
        <f t="shared" si="1"/>
        <v>48610</v>
      </c>
      <c r="U17" s="871">
        <f t="shared" si="8"/>
        <v>149300</v>
      </c>
      <c r="V17" s="871">
        <f t="shared" si="9"/>
        <v>113750</v>
      </c>
      <c r="W17" s="869">
        <f t="shared" si="10"/>
        <v>1425740</v>
      </c>
      <c r="X17" s="872">
        <f t="shared" si="11"/>
        <v>2610680</v>
      </c>
      <c r="Y17" s="1434">
        <f>SUM(X17,X18,P17,P18,I17,I18)</f>
        <v>40111810</v>
      </c>
      <c r="Z17" s="873">
        <f t="shared" si="13"/>
        <v>2400000</v>
      </c>
      <c r="AA17" s="873">
        <f t="shared" si="12"/>
        <v>600000</v>
      </c>
      <c r="AB17" s="873">
        <f>AA17+Z17</f>
        <v>3000000</v>
      </c>
      <c r="AC17" s="1430"/>
    </row>
    <row r="18" spans="1:29" ht="24" customHeight="1" x14ac:dyDescent="0.15">
      <c r="A18" s="1431"/>
      <c r="B18" s="1433"/>
      <c r="C18" s="1433"/>
      <c r="D18" s="1433"/>
      <c r="E18" s="1433"/>
      <c r="F18" s="859">
        <v>7</v>
      </c>
      <c r="G18" s="882">
        <f>G17+1</f>
        <v>5</v>
      </c>
      <c r="H18" s="864">
        <v>2047000</v>
      </c>
      <c r="I18" s="865">
        <f t="shared" ref="I18:I24" si="15">H18*F18</f>
        <v>14329000</v>
      </c>
      <c r="J18" s="866">
        <f t="shared" si="14"/>
        <v>1228200</v>
      </c>
      <c r="K18" s="867"/>
      <c r="L18" s="875">
        <f t="shared" si="2"/>
        <v>14690</v>
      </c>
      <c r="M18" s="869">
        <f t="shared" si="3"/>
        <v>4113200</v>
      </c>
      <c r="N18" s="869"/>
      <c r="O18" s="869"/>
      <c r="P18" s="870">
        <f t="shared" si="4"/>
        <v>5341400</v>
      </c>
      <c r="Q18" s="887">
        <f t="shared" si="5"/>
        <v>1639200</v>
      </c>
      <c r="R18" s="871">
        <f t="shared" si="6"/>
        <v>885170</v>
      </c>
      <c r="S18" s="871">
        <f t="shared" si="7"/>
        <v>656010</v>
      </c>
      <c r="T18" s="871">
        <f t="shared" si="1"/>
        <v>67250</v>
      </c>
      <c r="U18" s="871">
        <f t="shared" si="8"/>
        <v>206540</v>
      </c>
      <c r="V18" s="871">
        <f t="shared" si="9"/>
        <v>157360</v>
      </c>
      <c r="W18" s="869">
        <f t="shared" si="10"/>
        <v>1972330</v>
      </c>
      <c r="X18" s="872">
        <f t="shared" si="11"/>
        <v>3611530</v>
      </c>
      <c r="Y18" s="1435"/>
      <c r="Z18" s="876"/>
      <c r="AA18" s="876"/>
      <c r="AB18" s="876"/>
      <c r="AC18" s="1431"/>
    </row>
    <row r="19" spans="1:29" ht="24" customHeight="1" x14ac:dyDescent="0.15">
      <c r="A19" s="1430">
        <v>8</v>
      </c>
      <c r="B19" s="1432" t="s">
        <v>193</v>
      </c>
      <c r="C19" s="1430" t="s">
        <v>319</v>
      </c>
      <c r="D19" s="1432">
        <v>7</v>
      </c>
      <c r="E19" s="1432">
        <f>F19+F20</f>
        <v>12</v>
      </c>
      <c r="F19" s="854">
        <v>6</v>
      </c>
      <c r="G19" s="883" t="s">
        <v>197</v>
      </c>
      <c r="H19" s="878">
        <v>1987000</v>
      </c>
      <c r="I19" s="865">
        <f t="shared" si="15"/>
        <v>11922000</v>
      </c>
      <c r="J19" s="866">
        <f t="shared" si="14"/>
        <v>1192200</v>
      </c>
      <c r="K19" s="867">
        <f>40000*12</f>
        <v>480000</v>
      </c>
      <c r="L19" s="868">
        <f t="shared" si="2"/>
        <v>14260</v>
      </c>
      <c r="M19" s="869">
        <f t="shared" si="3"/>
        <v>3422400</v>
      </c>
      <c r="N19" s="869"/>
      <c r="O19" s="888"/>
      <c r="P19" s="870">
        <f>SUM(J19,K19,M19,N19,O20)</f>
        <v>5094600</v>
      </c>
      <c r="Q19" s="871">
        <f t="shared" si="5"/>
        <v>1418050</v>
      </c>
      <c r="R19" s="871">
        <f t="shared" si="6"/>
        <v>765750</v>
      </c>
      <c r="S19" s="871">
        <f t="shared" si="7"/>
        <v>567510</v>
      </c>
      <c r="T19" s="871">
        <f t="shared" si="1"/>
        <v>58170</v>
      </c>
      <c r="U19" s="871">
        <f t="shared" si="8"/>
        <v>178670</v>
      </c>
      <c r="V19" s="871">
        <f t="shared" si="9"/>
        <v>136130</v>
      </c>
      <c r="W19" s="869">
        <f t="shared" si="10"/>
        <v>1706230</v>
      </c>
      <c r="X19" s="872">
        <f t="shared" si="11"/>
        <v>3124280</v>
      </c>
      <c r="Y19" s="879">
        <f>SUM(X19,X20,P19,P20,I19,I20)</f>
        <v>40304500</v>
      </c>
      <c r="Z19" s="873">
        <f t="shared" si="13"/>
        <v>2400000</v>
      </c>
      <c r="AA19" s="873">
        <f t="shared" si="12"/>
        <v>600000</v>
      </c>
      <c r="AB19" s="873">
        <f>AA19+Z19</f>
        <v>3000000</v>
      </c>
      <c r="AC19" s="1430"/>
    </row>
    <row r="20" spans="1:29" ht="24" customHeight="1" x14ac:dyDescent="0.15">
      <c r="A20" s="1431"/>
      <c r="B20" s="1433"/>
      <c r="C20" s="1431"/>
      <c r="D20" s="1433"/>
      <c r="E20" s="1433"/>
      <c r="F20" s="859">
        <v>6</v>
      </c>
      <c r="G20" s="882">
        <f>G19+1</f>
        <v>5</v>
      </c>
      <c r="H20" s="878">
        <v>2047000</v>
      </c>
      <c r="I20" s="865">
        <f t="shared" si="15"/>
        <v>12282000</v>
      </c>
      <c r="J20" s="866">
        <f t="shared" si="14"/>
        <v>1228200</v>
      </c>
      <c r="K20" s="867"/>
      <c r="L20" s="875">
        <f t="shared" si="2"/>
        <v>14690</v>
      </c>
      <c r="M20" s="869">
        <f t="shared" si="3"/>
        <v>3525600</v>
      </c>
      <c r="N20" s="869"/>
      <c r="O20" s="869"/>
      <c r="P20" s="870">
        <f>SUM(J20,K20,M20,N20,O21)</f>
        <v>4753800</v>
      </c>
      <c r="Q20" s="887">
        <f t="shared" si="5"/>
        <v>1419650</v>
      </c>
      <c r="R20" s="871">
        <f t="shared" si="6"/>
        <v>766610</v>
      </c>
      <c r="S20" s="871">
        <f t="shared" si="7"/>
        <v>568150</v>
      </c>
      <c r="T20" s="871">
        <f t="shared" si="1"/>
        <v>58240</v>
      </c>
      <c r="U20" s="871">
        <f t="shared" si="8"/>
        <v>178880</v>
      </c>
      <c r="V20" s="871">
        <f t="shared" si="9"/>
        <v>136290</v>
      </c>
      <c r="W20" s="869">
        <f t="shared" si="10"/>
        <v>1708170</v>
      </c>
      <c r="X20" s="872">
        <f t="shared" si="11"/>
        <v>3127820</v>
      </c>
      <c r="Y20" s="880"/>
      <c r="Z20" s="876"/>
      <c r="AA20" s="876"/>
      <c r="AB20" s="876"/>
      <c r="AC20" s="1431"/>
    </row>
    <row r="21" spans="1:29" ht="24" customHeight="1" x14ac:dyDescent="0.15">
      <c r="A21" s="1430">
        <v>9</v>
      </c>
      <c r="B21" s="1432" t="s">
        <v>193</v>
      </c>
      <c r="C21" s="1430" t="s">
        <v>320</v>
      </c>
      <c r="D21" s="1432">
        <v>7</v>
      </c>
      <c r="E21" s="1432">
        <f>F21+F22</f>
        <v>12</v>
      </c>
      <c r="F21" s="854">
        <v>6</v>
      </c>
      <c r="G21" s="883" t="s">
        <v>223</v>
      </c>
      <c r="H21" s="878">
        <v>1821000</v>
      </c>
      <c r="I21" s="865">
        <f t="shared" si="15"/>
        <v>10926000</v>
      </c>
      <c r="J21" s="866">
        <f t="shared" si="14"/>
        <v>1092600</v>
      </c>
      <c r="K21" s="867"/>
      <c r="L21" s="868">
        <f t="shared" si="2"/>
        <v>13070</v>
      </c>
      <c r="M21" s="869">
        <f t="shared" si="3"/>
        <v>3136800</v>
      </c>
      <c r="N21" s="869"/>
      <c r="O21" s="869"/>
      <c r="P21" s="870">
        <f t="shared" si="4"/>
        <v>4229400</v>
      </c>
      <c r="Q21" s="871">
        <f t="shared" si="5"/>
        <v>1262950</v>
      </c>
      <c r="R21" s="871">
        <f t="shared" si="6"/>
        <v>681990</v>
      </c>
      <c r="S21" s="871">
        <f t="shared" si="7"/>
        <v>505440</v>
      </c>
      <c r="T21" s="871">
        <f t="shared" si="1"/>
        <v>51810</v>
      </c>
      <c r="U21" s="871">
        <f t="shared" si="8"/>
        <v>159130</v>
      </c>
      <c r="V21" s="871">
        <f t="shared" si="9"/>
        <v>121240</v>
      </c>
      <c r="W21" s="869">
        <f t="shared" si="10"/>
        <v>1519610</v>
      </c>
      <c r="X21" s="872">
        <f t="shared" si="11"/>
        <v>2782560</v>
      </c>
      <c r="Y21" s="879">
        <f>SUM(X21,X22,P21,P22,I21,I22)</f>
        <v>36387240</v>
      </c>
      <c r="Z21" s="873">
        <f t="shared" si="13"/>
        <v>2400000</v>
      </c>
      <c r="AA21" s="873">
        <f t="shared" si="12"/>
        <v>600000</v>
      </c>
      <c r="AB21" s="873">
        <f>AA21+Z21</f>
        <v>3000000</v>
      </c>
      <c r="AC21" s="1430"/>
    </row>
    <row r="22" spans="1:29" ht="24" customHeight="1" x14ac:dyDescent="0.15">
      <c r="A22" s="1431"/>
      <c r="B22" s="1433"/>
      <c r="C22" s="1431"/>
      <c r="D22" s="1433"/>
      <c r="E22" s="1433"/>
      <c r="F22" s="859">
        <v>6</v>
      </c>
      <c r="G22" s="882">
        <f>G21+1</f>
        <v>2</v>
      </c>
      <c r="H22" s="878">
        <v>1873000</v>
      </c>
      <c r="I22" s="865">
        <f t="shared" si="15"/>
        <v>11238000</v>
      </c>
      <c r="J22" s="866">
        <f t="shared" si="14"/>
        <v>1123800</v>
      </c>
      <c r="K22" s="867"/>
      <c r="L22" s="875">
        <f t="shared" si="2"/>
        <v>13440</v>
      </c>
      <c r="M22" s="869">
        <f t="shared" si="3"/>
        <v>3225600</v>
      </c>
      <c r="N22" s="869"/>
      <c r="O22" s="869"/>
      <c r="P22" s="870">
        <f t="shared" si="4"/>
        <v>4349400</v>
      </c>
      <c r="Q22" s="887">
        <f t="shared" si="5"/>
        <v>1298950</v>
      </c>
      <c r="R22" s="871">
        <f t="shared" si="6"/>
        <v>701430</v>
      </c>
      <c r="S22" s="871">
        <f t="shared" si="7"/>
        <v>519840</v>
      </c>
      <c r="T22" s="871">
        <f t="shared" si="1"/>
        <v>53290</v>
      </c>
      <c r="U22" s="871">
        <f t="shared" si="8"/>
        <v>163670</v>
      </c>
      <c r="V22" s="871">
        <f t="shared" si="9"/>
        <v>124700</v>
      </c>
      <c r="W22" s="869">
        <f t="shared" si="10"/>
        <v>1562930</v>
      </c>
      <c r="X22" s="872">
        <f t="shared" si="11"/>
        <v>2861880</v>
      </c>
      <c r="Y22" s="880"/>
      <c r="Z22" s="876"/>
      <c r="AA22" s="876"/>
      <c r="AB22" s="876"/>
      <c r="AC22" s="1431"/>
    </row>
    <row r="23" spans="1:29" ht="24" customHeight="1" x14ac:dyDescent="0.15">
      <c r="A23" s="1430">
        <v>10</v>
      </c>
      <c r="B23" s="1432" t="s">
        <v>193</v>
      </c>
      <c r="C23" s="1430" t="s">
        <v>321</v>
      </c>
      <c r="D23" s="1432">
        <v>11</v>
      </c>
      <c r="E23" s="1432">
        <f>F23+F24</f>
        <v>12</v>
      </c>
      <c r="F23" s="854">
        <v>10</v>
      </c>
      <c r="G23" s="883" t="s">
        <v>213</v>
      </c>
      <c r="H23" s="878">
        <v>1929000</v>
      </c>
      <c r="I23" s="865">
        <f t="shared" si="15"/>
        <v>19290000</v>
      </c>
      <c r="J23" s="866">
        <f>(H23*60%)*2</f>
        <v>2314800</v>
      </c>
      <c r="K23" s="867">
        <f>40000*12</f>
        <v>480000</v>
      </c>
      <c r="L23" s="868">
        <f t="shared" si="2"/>
        <v>13840</v>
      </c>
      <c r="M23" s="869">
        <f t="shared" si="3"/>
        <v>5536000</v>
      </c>
      <c r="N23" s="869"/>
      <c r="O23" s="869"/>
      <c r="P23" s="870">
        <f t="shared" si="4"/>
        <v>8330800</v>
      </c>
      <c r="Q23" s="871">
        <f t="shared" si="5"/>
        <v>2301740</v>
      </c>
      <c r="R23" s="871">
        <f t="shared" si="6"/>
        <v>1242940</v>
      </c>
      <c r="S23" s="871">
        <f t="shared" si="7"/>
        <v>921160</v>
      </c>
      <c r="T23" s="871">
        <f t="shared" si="1"/>
        <v>94420</v>
      </c>
      <c r="U23" s="871">
        <f t="shared" si="8"/>
        <v>290020</v>
      </c>
      <c r="V23" s="871">
        <f t="shared" si="9"/>
        <v>220970</v>
      </c>
      <c r="W23" s="869">
        <f t="shared" si="10"/>
        <v>2769510</v>
      </c>
      <c r="X23" s="872">
        <f t="shared" si="11"/>
        <v>5071250</v>
      </c>
      <c r="Y23" s="879">
        <f>SUM(X23,X24,P23,P24,I23,I24)</f>
        <v>38745960</v>
      </c>
      <c r="Z23" s="873">
        <f t="shared" si="13"/>
        <v>2400000</v>
      </c>
      <c r="AA23" s="873">
        <f t="shared" si="12"/>
        <v>600000</v>
      </c>
      <c r="AB23" s="873">
        <f>AA23+Z23</f>
        <v>3000000</v>
      </c>
      <c r="AC23" s="1430"/>
    </row>
    <row r="24" spans="1:29" ht="24" customHeight="1" x14ac:dyDescent="0.15">
      <c r="A24" s="1431"/>
      <c r="B24" s="1433"/>
      <c r="C24" s="1431"/>
      <c r="D24" s="1433"/>
      <c r="E24" s="1433"/>
      <c r="F24" s="859">
        <v>2</v>
      </c>
      <c r="G24" s="882">
        <f>G23+1</f>
        <v>4</v>
      </c>
      <c r="H24" s="878">
        <v>1987000</v>
      </c>
      <c r="I24" s="865">
        <f t="shared" si="15"/>
        <v>3974000</v>
      </c>
      <c r="J24" s="866"/>
      <c r="K24" s="867"/>
      <c r="L24" s="875">
        <f t="shared" si="2"/>
        <v>14260</v>
      </c>
      <c r="M24" s="869">
        <f>(L24*40)*F24</f>
        <v>1140800</v>
      </c>
      <c r="N24" s="869"/>
      <c r="O24" s="869"/>
      <c r="P24" s="870">
        <f t="shared" si="4"/>
        <v>1140800</v>
      </c>
      <c r="Q24" s="887">
        <f t="shared" si="5"/>
        <v>426240</v>
      </c>
      <c r="R24" s="871">
        <f t="shared" si="6"/>
        <v>230170</v>
      </c>
      <c r="S24" s="871">
        <f t="shared" si="7"/>
        <v>170580</v>
      </c>
      <c r="T24" s="871">
        <f t="shared" si="1"/>
        <v>17490</v>
      </c>
      <c r="U24" s="871">
        <f t="shared" si="8"/>
        <v>53710</v>
      </c>
      <c r="V24" s="871">
        <f t="shared" si="9"/>
        <v>40920</v>
      </c>
      <c r="W24" s="869">
        <f t="shared" si="10"/>
        <v>512870</v>
      </c>
      <c r="X24" s="872">
        <f t="shared" si="11"/>
        <v>939110</v>
      </c>
      <c r="Y24" s="880"/>
      <c r="Z24" s="876"/>
      <c r="AA24" s="876"/>
      <c r="AB24" s="876"/>
      <c r="AC24" s="1431"/>
    </row>
    <row r="25" spans="1:29" ht="24" customHeight="1" x14ac:dyDescent="0.15">
      <c r="A25" s="1430">
        <v>11</v>
      </c>
      <c r="B25" s="1432" t="s">
        <v>193</v>
      </c>
      <c r="C25" s="1430" t="s">
        <v>322</v>
      </c>
      <c r="D25" s="1432">
        <v>1</v>
      </c>
      <c r="E25" s="1432">
        <f>F25+F26</f>
        <v>12</v>
      </c>
      <c r="F25" s="854">
        <v>12</v>
      </c>
      <c r="G25" s="883" t="s">
        <v>213</v>
      </c>
      <c r="H25" s="878">
        <v>1929000</v>
      </c>
      <c r="I25" s="865">
        <f>H25*F25</f>
        <v>23148000</v>
      </c>
      <c r="J25" s="866">
        <f>(H25*60%)*2</f>
        <v>2314800</v>
      </c>
      <c r="K25" s="867">
        <f>40000*12</f>
        <v>480000</v>
      </c>
      <c r="L25" s="868">
        <f t="shared" si="2"/>
        <v>13840</v>
      </c>
      <c r="M25" s="869">
        <f t="shared" si="3"/>
        <v>6643200</v>
      </c>
      <c r="N25" s="869"/>
      <c r="O25" s="869"/>
      <c r="P25" s="870">
        <f t="shared" si="4"/>
        <v>9438000</v>
      </c>
      <c r="Q25" s="871">
        <f t="shared" si="5"/>
        <v>2715500</v>
      </c>
      <c r="R25" s="871">
        <f t="shared" si="6"/>
        <v>1466370</v>
      </c>
      <c r="S25" s="871">
        <f t="shared" si="7"/>
        <v>1086750</v>
      </c>
      <c r="T25" s="871">
        <f t="shared" si="1"/>
        <v>111400</v>
      </c>
      <c r="U25" s="871">
        <f t="shared" si="8"/>
        <v>342150</v>
      </c>
      <c r="V25" s="871">
        <f t="shared" si="9"/>
        <v>260690</v>
      </c>
      <c r="W25" s="869">
        <f t="shared" si="10"/>
        <v>3267360</v>
      </c>
      <c r="X25" s="872">
        <f t="shared" si="11"/>
        <v>5982860</v>
      </c>
      <c r="Y25" s="1434">
        <f>SUM(X25,X26,P25,P26,I25,I26)</f>
        <v>38568860</v>
      </c>
      <c r="Z25" s="873">
        <f t="shared" si="13"/>
        <v>2400000</v>
      </c>
      <c r="AA25" s="873">
        <f t="shared" si="12"/>
        <v>600000</v>
      </c>
      <c r="AB25" s="873">
        <f>AA25+Z25</f>
        <v>3000000</v>
      </c>
      <c r="AC25" s="1430"/>
    </row>
    <row r="26" spans="1:29" ht="24" customHeight="1" x14ac:dyDescent="0.15">
      <c r="A26" s="1431"/>
      <c r="B26" s="1433"/>
      <c r="C26" s="1431"/>
      <c r="D26" s="1433"/>
      <c r="E26" s="1433"/>
      <c r="F26" s="859"/>
      <c r="G26" s="883"/>
      <c r="H26" s="878"/>
      <c r="I26" s="865">
        <f>H26*F26</f>
        <v>0</v>
      </c>
      <c r="J26" s="866">
        <f>H26*60%</f>
        <v>0</v>
      </c>
      <c r="K26" s="867"/>
      <c r="L26" s="875">
        <f t="shared" si="2"/>
        <v>0</v>
      </c>
      <c r="M26" s="869">
        <f t="shared" si="3"/>
        <v>0</v>
      </c>
      <c r="N26" s="869"/>
      <c r="O26" s="869"/>
      <c r="P26" s="870">
        <f t="shared" si="4"/>
        <v>0</v>
      </c>
      <c r="Q26" s="887">
        <f t="shared" si="5"/>
        <v>0</v>
      </c>
      <c r="R26" s="871">
        <f t="shared" si="6"/>
        <v>0</v>
      </c>
      <c r="S26" s="871">
        <f t="shared" si="7"/>
        <v>0</v>
      </c>
      <c r="T26" s="871">
        <f t="shared" si="1"/>
        <v>0</v>
      </c>
      <c r="U26" s="871">
        <f t="shared" si="8"/>
        <v>0</v>
      </c>
      <c r="V26" s="871">
        <f t="shared" si="9"/>
        <v>0</v>
      </c>
      <c r="W26" s="869">
        <f t="shared" si="10"/>
        <v>0</v>
      </c>
      <c r="X26" s="872">
        <f t="shared" si="11"/>
        <v>0</v>
      </c>
      <c r="Y26" s="1435"/>
      <c r="Z26" s="876"/>
      <c r="AA26" s="876"/>
      <c r="AB26" s="876"/>
      <c r="AC26" s="1431"/>
    </row>
    <row r="27" spans="1:29" ht="24" customHeight="1" x14ac:dyDescent="0.15">
      <c r="A27" s="1430">
        <v>12</v>
      </c>
      <c r="B27" s="1432" t="s">
        <v>193</v>
      </c>
      <c r="C27" s="1430" t="s">
        <v>633</v>
      </c>
      <c r="D27" s="1432">
        <v>1</v>
      </c>
      <c r="E27" s="1432">
        <f>F27+F28</f>
        <v>12</v>
      </c>
      <c r="F27" s="854">
        <v>12</v>
      </c>
      <c r="G27" s="883" t="s">
        <v>213</v>
      </c>
      <c r="H27" s="878">
        <v>1929000</v>
      </c>
      <c r="I27" s="865">
        <f>H27*F27</f>
        <v>23148000</v>
      </c>
      <c r="J27" s="866">
        <f>(H27*60%)*2</f>
        <v>2314800</v>
      </c>
      <c r="K27" s="867">
        <f>40000*12</f>
        <v>480000</v>
      </c>
      <c r="L27" s="868">
        <f t="shared" si="2"/>
        <v>13840</v>
      </c>
      <c r="M27" s="869">
        <f t="shared" si="3"/>
        <v>6643200</v>
      </c>
      <c r="N27" s="869"/>
      <c r="O27" s="869"/>
      <c r="P27" s="870">
        <f t="shared" si="4"/>
        <v>9438000</v>
      </c>
      <c r="Q27" s="871">
        <f t="shared" si="5"/>
        <v>2715500</v>
      </c>
      <c r="R27" s="871">
        <f t="shared" si="6"/>
        <v>1466370</v>
      </c>
      <c r="S27" s="871">
        <f t="shared" si="7"/>
        <v>1086750</v>
      </c>
      <c r="T27" s="871">
        <f t="shared" si="1"/>
        <v>111400</v>
      </c>
      <c r="U27" s="871">
        <f t="shared" si="8"/>
        <v>342150</v>
      </c>
      <c r="V27" s="871">
        <f t="shared" si="9"/>
        <v>260690</v>
      </c>
      <c r="W27" s="869">
        <f t="shared" si="10"/>
        <v>3267360</v>
      </c>
      <c r="X27" s="872">
        <f t="shared" si="11"/>
        <v>5982860</v>
      </c>
      <c r="Y27" s="1434">
        <f>SUM(X27,X28,P27,P28,I27,I28)</f>
        <v>38568860</v>
      </c>
      <c r="Z27" s="873">
        <f t="shared" si="13"/>
        <v>2400000</v>
      </c>
      <c r="AA27" s="873">
        <f t="shared" si="12"/>
        <v>600000</v>
      </c>
      <c r="AB27" s="873">
        <f>AA27+Z27</f>
        <v>3000000</v>
      </c>
      <c r="AC27" s="1430" t="s">
        <v>634</v>
      </c>
    </row>
    <row r="28" spans="1:29" ht="24" customHeight="1" x14ac:dyDescent="0.15">
      <c r="A28" s="1460"/>
      <c r="B28" s="1459"/>
      <c r="C28" s="1460"/>
      <c r="D28" s="1459"/>
      <c r="E28" s="1433"/>
      <c r="F28" s="884"/>
      <c r="G28" s="885"/>
      <c r="H28" s="889"/>
      <c r="I28" s="890">
        <f>H28*F28</f>
        <v>0</v>
      </c>
      <c r="J28" s="891">
        <f>H28*60%</f>
        <v>0</v>
      </c>
      <c r="K28" s="892"/>
      <c r="L28" s="893">
        <f t="shared" si="2"/>
        <v>0</v>
      </c>
      <c r="M28" s="873">
        <f t="shared" si="3"/>
        <v>0</v>
      </c>
      <c r="N28" s="873"/>
      <c r="O28" s="873"/>
      <c r="P28" s="894">
        <f t="shared" si="4"/>
        <v>0</v>
      </c>
      <c r="Q28" s="895">
        <f t="shared" si="5"/>
        <v>0</v>
      </c>
      <c r="R28" s="895">
        <f t="shared" si="6"/>
        <v>0</v>
      </c>
      <c r="S28" s="895">
        <f t="shared" si="7"/>
        <v>0</v>
      </c>
      <c r="T28" s="895">
        <f t="shared" si="1"/>
        <v>0</v>
      </c>
      <c r="U28" s="895">
        <f t="shared" si="8"/>
        <v>0</v>
      </c>
      <c r="V28" s="895">
        <f t="shared" si="9"/>
        <v>0</v>
      </c>
      <c r="W28" s="873">
        <f t="shared" si="10"/>
        <v>0</v>
      </c>
      <c r="X28" s="874">
        <f t="shared" si="11"/>
        <v>0</v>
      </c>
      <c r="Y28" s="1462"/>
      <c r="Z28" s="876"/>
      <c r="AA28" s="876"/>
      <c r="AB28" s="881"/>
      <c r="AC28" s="1460"/>
    </row>
    <row r="29" spans="1:29" s="96" customFormat="1" ht="35.1" customHeight="1" x14ac:dyDescent="0.15">
      <c r="A29" s="1464" t="s">
        <v>323</v>
      </c>
      <c r="B29" s="1465"/>
      <c r="C29" s="1465"/>
      <c r="D29" s="1465"/>
      <c r="E29" s="1465"/>
      <c r="F29" s="1465"/>
      <c r="G29" s="1465"/>
      <c r="H29" s="1466"/>
      <c r="I29" s="899">
        <f>SUM(I3:I28)</f>
        <v>277542000</v>
      </c>
      <c r="J29" s="886">
        <f t="shared" ref="J29:AA29" si="16">SUM(J3:J28)</f>
        <v>27759600</v>
      </c>
      <c r="K29" s="886">
        <f t="shared" si="16"/>
        <v>2400000</v>
      </c>
      <c r="L29" s="886">
        <f t="shared" si="16"/>
        <v>250150</v>
      </c>
      <c r="M29" s="886">
        <f t="shared" si="16"/>
        <v>79662000</v>
      </c>
      <c r="N29" s="886">
        <f t="shared" si="16"/>
        <v>0</v>
      </c>
      <c r="O29" s="886">
        <f t="shared" si="16"/>
        <v>0</v>
      </c>
      <c r="P29" s="899">
        <f t="shared" si="16"/>
        <v>109821600</v>
      </c>
      <c r="Q29" s="886">
        <f t="shared" si="16"/>
        <v>32280330</v>
      </c>
      <c r="R29" s="886">
        <f t="shared" si="16"/>
        <v>17431380</v>
      </c>
      <c r="S29" s="886">
        <f t="shared" si="16"/>
        <v>12918670</v>
      </c>
      <c r="T29" s="886">
        <f t="shared" si="16"/>
        <v>1324240</v>
      </c>
      <c r="U29" s="886">
        <f t="shared" si="16"/>
        <v>4067340</v>
      </c>
      <c r="V29" s="886">
        <f t="shared" si="16"/>
        <v>3098920</v>
      </c>
      <c r="W29" s="886">
        <f t="shared" si="16"/>
        <v>38840550</v>
      </c>
      <c r="X29" s="899">
        <f t="shared" si="16"/>
        <v>71120880</v>
      </c>
      <c r="Y29" s="900">
        <f>SUM(Y5:Y28)</f>
        <v>458484480</v>
      </c>
      <c r="Z29" s="886">
        <f t="shared" si="16"/>
        <v>28800000</v>
      </c>
      <c r="AA29" s="886">
        <f t="shared" si="16"/>
        <v>7200000</v>
      </c>
      <c r="AB29" s="886">
        <f>SUM(AB3:AB28)</f>
        <v>36000000</v>
      </c>
      <c r="AC29" s="886">
        <f>SUM(AC3:AC26)</f>
        <v>0</v>
      </c>
    </row>
    <row r="30" spans="1:29" ht="27" customHeight="1" x14ac:dyDescent="0.15">
      <c r="A30" s="1458" t="s">
        <v>313</v>
      </c>
      <c r="B30" s="1458"/>
      <c r="C30" s="1458"/>
      <c r="D30" s="1458"/>
      <c r="E30" s="1458"/>
      <c r="F30" s="1458"/>
      <c r="G30" s="1458"/>
      <c r="H30" s="1458"/>
      <c r="I30" s="1458"/>
      <c r="J30" s="1458"/>
      <c r="K30" s="1458"/>
      <c r="L30" s="1458"/>
      <c r="M30" s="1458"/>
      <c r="N30" s="1458"/>
      <c r="O30" s="1458"/>
      <c r="P30" s="1458"/>
      <c r="Q30" s="1458"/>
      <c r="R30" s="1458"/>
      <c r="S30" s="1458"/>
      <c r="T30" s="1458"/>
      <c r="U30" s="1458"/>
      <c r="V30" s="1458"/>
      <c r="W30" s="1458"/>
      <c r="X30" s="1458"/>
      <c r="Y30" s="1458"/>
      <c r="Z30" s="862"/>
      <c r="AA30" s="862"/>
      <c r="AB30" s="862"/>
      <c r="AC30" s="863"/>
    </row>
    <row r="31" spans="1:29" ht="35.1" customHeight="1" x14ac:dyDescent="0.15"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</row>
    <row r="32" spans="1:29" ht="35.1" customHeight="1" x14ac:dyDescent="0.15"/>
    <row r="33" ht="35.1" customHeight="1" x14ac:dyDescent="0.15"/>
    <row r="34" ht="35.1" customHeight="1" x14ac:dyDescent="0.15"/>
    <row r="35" ht="35.1" customHeight="1" x14ac:dyDescent="0.15"/>
    <row r="36" ht="35.1" customHeight="1" x14ac:dyDescent="0.15"/>
    <row r="37" ht="35.1" customHeight="1" x14ac:dyDescent="0.15"/>
  </sheetData>
  <mergeCells count="104"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F2"/>
    <mergeCell ref="A5:A6"/>
    <mergeCell ref="B5:B6"/>
    <mergeCell ref="C5:C6"/>
    <mergeCell ref="D5:D6"/>
    <mergeCell ref="Y5:Y6"/>
    <mergeCell ref="E5:E6"/>
    <mergeCell ref="AC5:AC6"/>
    <mergeCell ref="R3:R4"/>
    <mergeCell ref="S3:S4"/>
    <mergeCell ref="T3:T4"/>
    <mergeCell ref="U3:U4"/>
    <mergeCell ref="V3:V4"/>
    <mergeCell ref="W3:W4"/>
    <mergeCell ref="AC9:AC10"/>
    <mergeCell ref="A7:A8"/>
    <mergeCell ref="B7:B8"/>
    <mergeCell ref="C7:C8"/>
    <mergeCell ref="D7:D8"/>
    <mergeCell ref="Y7:Y8"/>
    <mergeCell ref="AC7:AC8"/>
    <mergeCell ref="A9:A10"/>
    <mergeCell ref="B9:B10"/>
    <mergeCell ref="C9:C10"/>
    <mergeCell ref="D9:D10"/>
    <mergeCell ref="Y9:Y10"/>
    <mergeCell ref="E7:E8"/>
    <mergeCell ref="E9:E10"/>
    <mergeCell ref="AC13:AC14"/>
    <mergeCell ref="A11:A12"/>
    <mergeCell ref="B11:B12"/>
    <mergeCell ref="C11:C12"/>
    <mergeCell ref="D11:D12"/>
    <mergeCell ref="Y11:Y12"/>
    <mergeCell ref="AC11:AC12"/>
    <mergeCell ref="A13:A14"/>
    <mergeCell ref="B13:B14"/>
    <mergeCell ref="C13:C14"/>
    <mergeCell ref="D13:D14"/>
    <mergeCell ref="Y13:Y14"/>
    <mergeCell ref="E11:E12"/>
    <mergeCell ref="E13:E14"/>
    <mergeCell ref="AC17:AC18"/>
    <mergeCell ref="A15:A16"/>
    <mergeCell ref="B15:B16"/>
    <mergeCell ref="C15:C16"/>
    <mergeCell ref="D15:D16"/>
    <mergeCell ref="Y15:Y16"/>
    <mergeCell ref="AC15:AC16"/>
    <mergeCell ref="A17:A18"/>
    <mergeCell ref="B17:B18"/>
    <mergeCell ref="C17:C18"/>
    <mergeCell ref="D17:D18"/>
    <mergeCell ref="Y17:Y18"/>
    <mergeCell ref="E15:E16"/>
    <mergeCell ref="E17:E18"/>
    <mergeCell ref="A21:A22"/>
    <mergeCell ref="B21:B22"/>
    <mergeCell ref="C21:C22"/>
    <mergeCell ref="D21:D22"/>
    <mergeCell ref="AC21:AC22"/>
    <mergeCell ref="E21:E22"/>
    <mergeCell ref="A19:A20"/>
    <mergeCell ref="B19:B20"/>
    <mergeCell ref="C19:C20"/>
    <mergeCell ref="D19:D20"/>
    <mergeCell ref="AC19:AC20"/>
    <mergeCell ref="E19:E20"/>
    <mergeCell ref="A23:A24"/>
    <mergeCell ref="B23:B24"/>
    <mergeCell ref="C23:C24"/>
    <mergeCell ref="D23:D24"/>
    <mergeCell ref="AC23:AC24"/>
    <mergeCell ref="E23:E24"/>
    <mergeCell ref="A30:Y30"/>
    <mergeCell ref="A29:H29"/>
    <mergeCell ref="AC25:AC26"/>
    <mergeCell ref="A27:A28"/>
    <mergeCell ref="B27:B28"/>
    <mergeCell ref="C27:C28"/>
    <mergeCell ref="D27:D28"/>
    <mergeCell ref="Y27:Y28"/>
    <mergeCell ref="AC27:AC28"/>
    <mergeCell ref="A25:A26"/>
    <mergeCell ref="B25:B26"/>
    <mergeCell ref="C25:C26"/>
    <mergeCell ref="D25:D26"/>
    <mergeCell ref="Y25:Y26"/>
    <mergeCell ref="E25:E26"/>
    <mergeCell ref="E27:E28"/>
  </mergeCells>
  <phoneticPr fontId="5" type="noConversion"/>
  <pageMargins left="0.70866141732283472" right="0.70866141732283472" top="0.47" bottom="0.51" header="0.31496062992125984" footer="0.31496062992125984"/>
  <pageSetup paperSize="9" scale="63" fitToHeight="0" orientation="landscape" horizontalDpi="4294967293" verticalDpi="4294967293" r:id="rId1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8"/>
  <sheetViews>
    <sheetView zoomScaleNormal="100" workbookViewId="0">
      <pane xSplit="3" ySplit="4" topLeftCell="D5" activePane="bottomRight" state="frozen"/>
      <selection activeCell="K16" sqref="K16"/>
      <selection pane="topRight" activeCell="K16" sqref="K16"/>
      <selection pane="bottomLeft" activeCell="K16" sqref="K16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.75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customWidth="1"/>
    <col min="15" max="15" width="10.125" style="1" hidden="1" customWidth="1"/>
    <col min="16" max="16" width="11.37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6" width="11.625" style="1" customWidth="1"/>
    <col min="27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452" t="s">
        <v>882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  <c r="P1" s="1452"/>
      <c r="Q1" s="1452"/>
      <c r="R1" s="1452"/>
      <c r="S1" s="1452"/>
      <c r="T1" s="1452"/>
      <c r="U1" s="1452"/>
      <c r="V1" s="1452"/>
      <c r="W1" s="1452"/>
      <c r="X1" s="1452"/>
      <c r="Y1" s="1452"/>
      <c r="Z1" s="1452"/>
      <c r="AA1" s="1452"/>
      <c r="AB1" s="1452"/>
      <c r="AC1" s="1452"/>
    </row>
    <row r="2" spans="1:29" ht="16.5" customHeight="1" x14ac:dyDescent="0.15">
      <c r="A2" s="1467" t="s">
        <v>885</v>
      </c>
      <c r="B2" s="1454"/>
      <c r="C2" s="1454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446" t="s">
        <v>47</v>
      </c>
      <c r="B3" s="1446" t="s">
        <v>48</v>
      </c>
      <c r="C3" s="1446" t="s">
        <v>72</v>
      </c>
      <c r="D3" s="1446" t="s">
        <v>169</v>
      </c>
      <c r="E3" s="1023"/>
      <c r="F3" s="1023"/>
      <c r="G3" s="1446" t="s">
        <v>49</v>
      </c>
      <c r="H3" s="1444" t="s">
        <v>165</v>
      </c>
      <c r="I3" s="1444" t="s">
        <v>74</v>
      </c>
      <c r="J3" s="1448" t="s">
        <v>62</v>
      </c>
      <c r="K3" s="1449"/>
      <c r="L3" s="1449"/>
      <c r="M3" s="1449"/>
      <c r="N3" s="1449"/>
      <c r="O3" s="1449"/>
      <c r="P3" s="1450"/>
      <c r="Q3" s="1442" t="s">
        <v>53</v>
      </c>
      <c r="R3" s="1442" t="s">
        <v>160</v>
      </c>
      <c r="S3" s="1442" t="s">
        <v>161</v>
      </c>
      <c r="T3" s="1442" t="s">
        <v>164</v>
      </c>
      <c r="U3" s="1442" t="s">
        <v>162</v>
      </c>
      <c r="V3" s="1442" t="s">
        <v>163</v>
      </c>
      <c r="W3" s="1442" t="s">
        <v>230</v>
      </c>
      <c r="X3" s="1442" t="s">
        <v>170</v>
      </c>
      <c r="Y3" s="1444" t="s">
        <v>71</v>
      </c>
      <c r="Z3" s="1448" t="s">
        <v>68</v>
      </c>
      <c r="AA3" s="1449"/>
      <c r="AB3" s="1450"/>
      <c r="AC3" s="1444" t="s">
        <v>50</v>
      </c>
    </row>
    <row r="4" spans="1:29" ht="30" customHeight="1" x14ac:dyDescent="0.15">
      <c r="A4" s="1447"/>
      <c r="B4" s="1447"/>
      <c r="C4" s="1447"/>
      <c r="D4" s="1447"/>
      <c r="E4" s="1024"/>
      <c r="F4" s="1024"/>
      <c r="G4" s="1447"/>
      <c r="H4" s="1445"/>
      <c r="I4" s="1445"/>
      <c r="J4" s="850" t="s">
        <v>441</v>
      </c>
      <c r="K4" s="850" t="s">
        <v>157</v>
      </c>
      <c r="L4" s="850" t="s">
        <v>168</v>
      </c>
      <c r="M4" s="850" t="s">
        <v>158</v>
      </c>
      <c r="N4" s="851" t="s">
        <v>159</v>
      </c>
      <c r="O4" s="851" t="s">
        <v>231</v>
      </c>
      <c r="P4" s="850" t="s">
        <v>63</v>
      </c>
      <c r="Q4" s="1443"/>
      <c r="R4" s="1443"/>
      <c r="S4" s="1443"/>
      <c r="T4" s="1443"/>
      <c r="U4" s="1443"/>
      <c r="V4" s="1443"/>
      <c r="W4" s="1443"/>
      <c r="X4" s="1443"/>
      <c r="Y4" s="1445"/>
      <c r="Z4" s="852" t="s">
        <v>228</v>
      </c>
      <c r="AA4" s="852" t="s">
        <v>229</v>
      </c>
      <c r="AB4" s="1025" t="s">
        <v>69</v>
      </c>
      <c r="AC4" s="1445"/>
    </row>
    <row r="5" spans="1:29" ht="24" customHeight="1" x14ac:dyDescent="0.15">
      <c r="A5" s="1430">
        <v>1</v>
      </c>
      <c r="B5" s="1432" t="s">
        <v>193</v>
      </c>
      <c r="C5" s="1432" t="s">
        <v>310</v>
      </c>
      <c r="D5" s="1432">
        <v>2</v>
      </c>
      <c r="E5" s="860"/>
      <c r="F5" s="854">
        <v>1</v>
      </c>
      <c r="G5" s="855" t="s">
        <v>198</v>
      </c>
      <c r="H5" s="864">
        <v>2241000</v>
      </c>
      <c r="I5" s="865">
        <f t="shared" ref="I5:I10" si="0">H5*F5</f>
        <v>2241000</v>
      </c>
      <c r="J5" s="866"/>
      <c r="K5" s="867"/>
      <c r="L5" s="868">
        <f t="shared" ref="L5:L10" si="1">ROUND(H5*1/209*1.5,-1)</f>
        <v>16080</v>
      </c>
      <c r="M5" s="869">
        <f>(L5*40)*F5</f>
        <v>643200</v>
      </c>
      <c r="N5" s="869"/>
      <c r="O5" s="869"/>
      <c r="P5" s="870">
        <f t="shared" ref="P5:P10" si="2">SUM(J5,K5,M5,N5,O5)</f>
        <v>643200</v>
      </c>
      <c r="Q5" s="871">
        <f t="shared" ref="Q5:Q10" si="3">ROUNDUP((P5+I5)*1/12,-1)</f>
        <v>240350</v>
      </c>
      <c r="R5" s="871">
        <f t="shared" ref="R5:R10" si="4">ROUND((I5+P5)*4.5%,-1)</f>
        <v>129790</v>
      </c>
      <c r="S5" s="871">
        <f t="shared" ref="S5:S10" si="5">ROUNDUP((I5+P5)*3.335%,-1)</f>
        <v>96190</v>
      </c>
      <c r="T5" s="871">
        <f t="shared" ref="T5:T10" si="6">ROUNDUP(S5*10.25%,-1)</f>
        <v>9860</v>
      </c>
      <c r="U5" s="871">
        <f t="shared" ref="U5:U10" si="7">ROUND((I5+P5)*1.05%,-1)</f>
        <v>30280</v>
      </c>
      <c r="V5" s="871">
        <f t="shared" ref="V5:V10" si="8">ROUND((I5+P5)*0.8%,-1)</f>
        <v>23070</v>
      </c>
      <c r="W5" s="869">
        <f t="shared" ref="W5:W10" si="9">SUM(R5:V5)</f>
        <v>289190</v>
      </c>
      <c r="X5" s="872">
        <f t="shared" ref="X5:X10" si="10">SUM(Q5,W5)</f>
        <v>529540</v>
      </c>
      <c r="Y5" s="1434">
        <f>SUM(X5,X6,P5,P6,I5,I6)</f>
        <v>45297160</v>
      </c>
      <c r="Z5" s="873">
        <f>250000*12</f>
        <v>3000000</v>
      </c>
      <c r="AA5" s="873">
        <f>50000*12</f>
        <v>600000</v>
      </c>
      <c r="AB5" s="873">
        <f>AA5+Z5</f>
        <v>3600000</v>
      </c>
      <c r="AC5" s="1437"/>
    </row>
    <row r="6" spans="1:29" ht="24" customHeight="1" x14ac:dyDescent="0.15">
      <c r="A6" s="1431"/>
      <c r="B6" s="1433"/>
      <c r="C6" s="1433"/>
      <c r="D6" s="1433"/>
      <c r="E6" s="861"/>
      <c r="F6" s="859">
        <v>11</v>
      </c>
      <c r="G6" s="882">
        <f>G5+1</f>
        <v>9</v>
      </c>
      <c r="H6" s="864">
        <v>2304000</v>
      </c>
      <c r="I6" s="865">
        <f t="shared" si="0"/>
        <v>25344000</v>
      </c>
      <c r="J6" s="866">
        <f>(H6*60%)*2</f>
        <v>2764800</v>
      </c>
      <c r="K6" s="867"/>
      <c r="L6" s="875">
        <f t="shared" si="1"/>
        <v>16540</v>
      </c>
      <c r="M6" s="869">
        <f>(L6*40)*F6</f>
        <v>7277600</v>
      </c>
      <c r="N6" s="869"/>
      <c r="O6" s="869"/>
      <c r="P6" s="870">
        <f t="shared" si="2"/>
        <v>10042400</v>
      </c>
      <c r="Q6" s="887">
        <f t="shared" si="3"/>
        <v>2948870</v>
      </c>
      <c r="R6" s="871">
        <f t="shared" si="4"/>
        <v>1592390</v>
      </c>
      <c r="S6" s="871">
        <f t="shared" si="5"/>
        <v>1180140</v>
      </c>
      <c r="T6" s="871">
        <f t="shared" si="6"/>
        <v>120970</v>
      </c>
      <c r="U6" s="871">
        <f t="shared" si="7"/>
        <v>371560</v>
      </c>
      <c r="V6" s="871">
        <f t="shared" si="8"/>
        <v>283090</v>
      </c>
      <c r="W6" s="869">
        <f t="shared" si="9"/>
        <v>3548150</v>
      </c>
      <c r="X6" s="872">
        <f t="shared" si="10"/>
        <v>6497020</v>
      </c>
      <c r="Y6" s="1435"/>
      <c r="Z6" s="876"/>
      <c r="AA6" s="876"/>
      <c r="AB6" s="876"/>
      <c r="AC6" s="1438"/>
    </row>
    <row r="7" spans="1:29" ht="24" customHeight="1" x14ac:dyDescent="0.15">
      <c r="A7" s="1430">
        <v>2</v>
      </c>
      <c r="B7" s="1432" t="s">
        <v>219</v>
      </c>
      <c r="C7" s="1432" t="s">
        <v>311</v>
      </c>
      <c r="D7" s="1432">
        <v>3</v>
      </c>
      <c r="E7" s="860"/>
      <c r="F7" s="854">
        <v>2</v>
      </c>
      <c r="G7" s="855" t="s">
        <v>184</v>
      </c>
      <c r="H7" s="864">
        <v>2008000</v>
      </c>
      <c r="I7" s="865">
        <f t="shared" si="0"/>
        <v>4016000</v>
      </c>
      <c r="J7" s="866">
        <f>H7*60%</f>
        <v>1204800</v>
      </c>
      <c r="K7" s="867">
        <f>40000*12</f>
        <v>480000</v>
      </c>
      <c r="L7" s="868">
        <f t="shared" si="1"/>
        <v>14410</v>
      </c>
      <c r="M7" s="869">
        <f>(L7*40)*F7</f>
        <v>1152800</v>
      </c>
      <c r="N7" s="869"/>
      <c r="O7" s="869"/>
      <c r="P7" s="870">
        <f t="shared" si="2"/>
        <v>2837600</v>
      </c>
      <c r="Q7" s="871">
        <f t="shared" si="3"/>
        <v>571140</v>
      </c>
      <c r="R7" s="871">
        <f t="shared" si="4"/>
        <v>308410</v>
      </c>
      <c r="S7" s="871">
        <f t="shared" si="5"/>
        <v>228570</v>
      </c>
      <c r="T7" s="871">
        <f t="shared" si="6"/>
        <v>23430</v>
      </c>
      <c r="U7" s="871">
        <f t="shared" si="7"/>
        <v>71960</v>
      </c>
      <c r="V7" s="871">
        <f t="shared" si="8"/>
        <v>54830</v>
      </c>
      <c r="W7" s="869">
        <f t="shared" si="9"/>
        <v>687200</v>
      </c>
      <c r="X7" s="872">
        <f t="shared" si="10"/>
        <v>1258340</v>
      </c>
      <c r="Y7" s="1434">
        <f>SUM(X7,X8,P7,P8,I7,I8)</f>
        <v>40783390</v>
      </c>
      <c r="Z7" s="873">
        <f>200000*2</f>
        <v>400000</v>
      </c>
      <c r="AA7" s="873">
        <f>50000*12</f>
        <v>600000</v>
      </c>
      <c r="AB7" s="873">
        <f>AA7+Z7</f>
        <v>1000000</v>
      </c>
      <c r="AC7" s="1437"/>
    </row>
    <row r="8" spans="1:29" ht="24" customHeight="1" x14ac:dyDescent="0.15">
      <c r="A8" s="1431"/>
      <c r="B8" s="1433"/>
      <c r="C8" s="1433"/>
      <c r="D8" s="1433"/>
      <c r="E8" s="861"/>
      <c r="F8" s="859">
        <v>10</v>
      </c>
      <c r="G8" s="882">
        <f>G7+1</f>
        <v>7</v>
      </c>
      <c r="H8" s="864">
        <v>2049000</v>
      </c>
      <c r="I8" s="865">
        <f t="shared" si="0"/>
        <v>20490000</v>
      </c>
      <c r="J8" s="866">
        <f>H8*60%</f>
        <v>1229400</v>
      </c>
      <c r="K8" s="867"/>
      <c r="L8" s="875">
        <f t="shared" si="1"/>
        <v>14710</v>
      </c>
      <c r="M8" s="869">
        <f>(L8*40)*F8</f>
        <v>5884000</v>
      </c>
      <c r="N8" s="869"/>
      <c r="O8" s="869"/>
      <c r="P8" s="870">
        <f t="shared" si="2"/>
        <v>7113400</v>
      </c>
      <c r="Q8" s="887">
        <f t="shared" si="3"/>
        <v>2300290</v>
      </c>
      <c r="R8" s="871">
        <f t="shared" si="4"/>
        <v>1242150</v>
      </c>
      <c r="S8" s="871">
        <f t="shared" si="5"/>
        <v>920580</v>
      </c>
      <c r="T8" s="871">
        <f t="shared" si="6"/>
        <v>94360</v>
      </c>
      <c r="U8" s="871">
        <f t="shared" si="7"/>
        <v>289840</v>
      </c>
      <c r="V8" s="871">
        <f t="shared" si="8"/>
        <v>220830</v>
      </c>
      <c r="W8" s="869">
        <f t="shared" si="9"/>
        <v>2767760</v>
      </c>
      <c r="X8" s="872">
        <f t="shared" si="10"/>
        <v>5068050</v>
      </c>
      <c r="Y8" s="1435"/>
      <c r="Z8" s="876">
        <f>250000*10</f>
        <v>2500000</v>
      </c>
      <c r="AA8" s="876"/>
      <c r="AB8" s="876"/>
      <c r="AC8" s="1438"/>
    </row>
    <row r="9" spans="1:29" ht="24" customHeight="1" x14ac:dyDescent="0.15">
      <c r="A9" s="1430">
        <v>3</v>
      </c>
      <c r="B9" s="1451" t="s">
        <v>309</v>
      </c>
      <c r="C9" s="1432" t="s">
        <v>312</v>
      </c>
      <c r="D9" s="1432">
        <v>9</v>
      </c>
      <c r="E9" s="860"/>
      <c r="F9" s="854">
        <v>8</v>
      </c>
      <c r="G9" s="855" t="s">
        <v>155</v>
      </c>
      <c r="H9" s="864">
        <v>2558000</v>
      </c>
      <c r="I9" s="865">
        <f t="shared" si="0"/>
        <v>20464000</v>
      </c>
      <c r="J9" s="866">
        <f>H9*60%</f>
        <v>1534800</v>
      </c>
      <c r="K9" s="867">
        <f>60000*12</f>
        <v>720000</v>
      </c>
      <c r="L9" s="868">
        <f t="shared" si="1"/>
        <v>18360</v>
      </c>
      <c r="M9" s="869">
        <f>(L9*20)*F9</f>
        <v>2937600</v>
      </c>
      <c r="N9" s="869">
        <f>(L9*5)*F9</f>
        <v>734400</v>
      </c>
      <c r="O9" s="869"/>
      <c r="P9" s="870">
        <f t="shared" si="2"/>
        <v>5926800</v>
      </c>
      <c r="Q9" s="871">
        <f t="shared" si="3"/>
        <v>2199240</v>
      </c>
      <c r="R9" s="871">
        <f t="shared" si="4"/>
        <v>1187590</v>
      </c>
      <c r="S9" s="871">
        <f t="shared" si="5"/>
        <v>880140</v>
      </c>
      <c r="T9" s="871">
        <f t="shared" si="6"/>
        <v>90220</v>
      </c>
      <c r="U9" s="871">
        <f t="shared" si="7"/>
        <v>277100</v>
      </c>
      <c r="V9" s="871">
        <f t="shared" si="8"/>
        <v>211130</v>
      </c>
      <c r="W9" s="869">
        <f t="shared" si="9"/>
        <v>2646180</v>
      </c>
      <c r="X9" s="872">
        <f t="shared" si="10"/>
        <v>4845420</v>
      </c>
      <c r="Y9" s="1434">
        <f>SUM(X9,X10,P9,P10,I9,I10)</f>
        <v>47751500</v>
      </c>
      <c r="Z9" s="873">
        <f>250000*12</f>
        <v>3000000</v>
      </c>
      <c r="AA9" s="873">
        <f>50000*12</f>
        <v>600000</v>
      </c>
      <c r="AB9" s="873">
        <f>AA9+Z9</f>
        <v>3600000</v>
      </c>
      <c r="AC9" s="1437"/>
    </row>
    <row r="10" spans="1:29" ht="24" customHeight="1" x14ac:dyDescent="0.15">
      <c r="A10" s="1431"/>
      <c r="B10" s="1433"/>
      <c r="C10" s="1433"/>
      <c r="D10" s="1433"/>
      <c r="E10" s="861"/>
      <c r="F10" s="859">
        <v>4</v>
      </c>
      <c r="G10" s="882">
        <f>G9+1</f>
        <v>14</v>
      </c>
      <c r="H10" s="864">
        <v>2624000</v>
      </c>
      <c r="I10" s="865">
        <f t="shared" si="0"/>
        <v>10496000</v>
      </c>
      <c r="J10" s="866">
        <f>H10*60%</f>
        <v>1574400</v>
      </c>
      <c r="K10" s="867"/>
      <c r="L10" s="875">
        <f t="shared" si="1"/>
        <v>18830</v>
      </c>
      <c r="M10" s="869">
        <f>(L10*20)*F10</f>
        <v>1506400</v>
      </c>
      <c r="N10" s="869">
        <f>(L10*5)*F10</f>
        <v>376600</v>
      </c>
      <c r="O10" s="869"/>
      <c r="P10" s="870">
        <f t="shared" si="2"/>
        <v>3457400</v>
      </c>
      <c r="Q10" s="887">
        <f t="shared" si="3"/>
        <v>1162790</v>
      </c>
      <c r="R10" s="871">
        <f t="shared" si="4"/>
        <v>627900</v>
      </c>
      <c r="S10" s="871">
        <f t="shared" si="5"/>
        <v>465350</v>
      </c>
      <c r="T10" s="871">
        <f t="shared" si="6"/>
        <v>47700</v>
      </c>
      <c r="U10" s="871">
        <f t="shared" si="7"/>
        <v>146510</v>
      </c>
      <c r="V10" s="871">
        <f t="shared" si="8"/>
        <v>111630</v>
      </c>
      <c r="W10" s="869">
        <f t="shared" si="9"/>
        <v>1399090</v>
      </c>
      <c r="X10" s="872">
        <f t="shared" si="10"/>
        <v>2561880</v>
      </c>
      <c r="Y10" s="1435"/>
      <c r="Z10" s="876"/>
      <c r="AA10" s="876"/>
      <c r="AB10" s="876"/>
      <c r="AC10" s="1438"/>
    </row>
    <row r="11" spans="1:29" s="96" customFormat="1" ht="35.1" customHeight="1" x14ac:dyDescent="0.15">
      <c r="A11" s="1464" t="s">
        <v>323</v>
      </c>
      <c r="B11" s="1465"/>
      <c r="C11" s="1465"/>
      <c r="D11" s="1465"/>
      <c r="E11" s="1465"/>
      <c r="F11" s="1465"/>
      <c r="G11" s="1465"/>
      <c r="H11" s="1466"/>
      <c r="I11" s="896">
        <f t="shared" ref="I11:N11" si="11">SUM(I5:I10)</f>
        <v>83051000</v>
      </c>
      <c r="J11" s="897">
        <f t="shared" si="11"/>
        <v>8308200</v>
      </c>
      <c r="K11" s="886">
        <f t="shared" si="11"/>
        <v>1200000</v>
      </c>
      <c r="L11" s="886">
        <f t="shared" si="11"/>
        <v>98930</v>
      </c>
      <c r="M11" s="886">
        <f t="shared" si="11"/>
        <v>19401600</v>
      </c>
      <c r="N11" s="886">
        <f t="shared" si="11"/>
        <v>1111000</v>
      </c>
      <c r="O11" s="897" t="e">
        <f>SUM(#REF!)</f>
        <v>#REF!</v>
      </c>
      <c r="P11" s="896">
        <f>SUM(P5:P10)</f>
        <v>30020800</v>
      </c>
      <c r="Q11" s="897">
        <f>SUM(Q5:Q10)</f>
        <v>9422680</v>
      </c>
      <c r="R11" s="897">
        <f t="shared" ref="R11:W11" si="12">SUM(R5:R10)</f>
        <v>5088230</v>
      </c>
      <c r="S11" s="897">
        <f t="shared" si="12"/>
        <v>3770970</v>
      </c>
      <c r="T11" s="897">
        <f t="shared" si="12"/>
        <v>386540</v>
      </c>
      <c r="U11" s="897">
        <f t="shared" si="12"/>
        <v>1187250</v>
      </c>
      <c r="V11" s="897">
        <f t="shared" si="12"/>
        <v>904580</v>
      </c>
      <c r="W11" s="886">
        <f t="shared" si="12"/>
        <v>11337570</v>
      </c>
      <c r="X11" s="899">
        <f>SUM(X5:X10)</f>
        <v>20760250</v>
      </c>
      <c r="Y11" s="898">
        <f>SUM(Y5:Y10)</f>
        <v>133832050</v>
      </c>
      <c r="Z11" s="897">
        <f>SUM(Z5:Z10)</f>
        <v>8900000</v>
      </c>
      <c r="AA11" s="897">
        <f>SUM(AA5:AA10)</f>
        <v>1800000</v>
      </c>
      <c r="AB11" s="897">
        <f>SUM(AB5:AB10)</f>
        <v>8200000</v>
      </c>
      <c r="AC11" s="886"/>
    </row>
    <row r="12" spans="1:29" ht="35.1" customHeight="1" x14ac:dyDescent="0.15">
      <c r="A12" s="1461" t="s">
        <v>313</v>
      </c>
      <c r="B12" s="1461"/>
      <c r="C12" s="1461"/>
      <c r="D12" s="1461"/>
      <c r="E12" s="1461"/>
      <c r="F12" s="1461"/>
      <c r="G12" s="1461"/>
      <c r="H12" s="1461"/>
      <c r="I12" s="1461"/>
      <c r="J12" s="1461"/>
      <c r="K12" s="1461"/>
      <c r="L12" s="1461"/>
      <c r="M12" s="1461"/>
      <c r="N12" s="1461"/>
      <c r="O12" s="1461"/>
      <c r="P12" s="1461"/>
      <c r="Q12" s="1461"/>
      <c r="R12" s="1461"/>
      <c r="S12" s="1461"/>
      <c r="T12" s="1461"/>
      <c r="U12" s="1461"/>
      <c r="V12" s="1461"/>
      <c r="W12" s="1461"/>
      <c r="X12" s="1461"/>
      <c r="Y12" s="1461"/>
      <c r="Z12" s="5"/>
      <c r="AA12" s="5"/>
      <c r="AB12" s="5"/>
      <c r="AC12" s="2"/>
    </row>
    <row r="13" spans="1:29" ht="35.1" customHeight="1" x14ac:dyDescent="0.15"/>
    <row r="14" spans="1:29" ht="35.1" customHeight="1" x14ac:dyDescent="0.15"/>
    <row r="15" spans="1:29" ht="35.1" customHeight="1" x14ac:dyDescent="0.15"/>
    <row r="16" spans="1:29" ht="35.1" customHeight="1" x14ac:dyDescent="0.15"/>
    <row r="17" ht="35.1" customHeight="1" x14ac:dyDescent="0.15"/>
    <row r="18" ht="35.1" customHeight="1" x14ac:dyDescent="0.15"/>
  </sheetData>
  <mergeCells count="41"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C2"/>
    <mergeCell ref="A5:A6"/>
    <mergeCell ref="B5:B6"/>
    <mergeCell ref="C5:C6"/>
    <mergeCell ref="D5:D6"/>
    <mergeCell ref="Y5:Y6"/>
    <mergeCell ref="AC5:AC6"/>
    <mergeCell ref="R3:R4"/>
    <mergeCell ref="S3:S4"/>
    <mergeCell ref="T3:T4"/>
    <mergeCell ref="U3:U4"/>
    <mergeCell ref="V3:V4"/>
    <mergeCell ref="W3:W4"/>
    <mergeCell ref="AC9:AC10"/>
    <mergeCell ref="A7:A8"/>
    <mergeCell ref="B7:B8"/>
    <mergeCell ref="C7:C8"/>
    <mergeCell ref="D7:D8"/>
    <mergeCell ref="Y7:Y8"/>
    <mergeCell ref="AC7:AC8"/>
    <mergeCell ref="A12:Y12"/>
    <mergeCell ref="A11:H11"/>
    <mergeCell ref="A9:A10"/>
    <mergeCell ref="B9:B10"/>
    <mergeCell ref="C9:C10"/>
    <mergeCell ref="D9:D10"/>
    <mergeCell ref="Y9:Y10"/>
  </mergeCells>
  <phoneticPr fontId="5" type="noConversion"/>
  <pageMargins left="0.70866141732283472" right="0.70866141732283472" top="0.74803149606299213" bottom="0.81" header="0.31496062992125984" footer="0.31496062992125984"/>
  <pageSetup paperSize="9" scale="60" fitToHeight="0" orientation="landscape" horizontalDpi="4294967293" verticalDpi="4294967293" r:id="rId1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Normal="100" workbookViewId="0">
      <selection activeCell="S18" sqref="S18"/>
    </sheetView>
  </sheetViews>
  <sheetFormatPr defaultRowHeight="13.5" x14ac:dyDescent="0.15"/>
  <cols>
    <col min="1" max="4" width="9" style="1"/>
    <col min="5" max="5" width="16.75" style="1" customWidth="1"/>
    <col min="6" max="6" width="9" style="1" hidden="1" customWidth="1"/>
    <col min="7" max="7" width="10.125" style="1" hidden="1" customWidth="1"/>
    <col min="8" max="11" width="9" style="1" hidden="1" customWidth="1"/>
    <col min="12" max="12" width="9.875" style="1" hidden="1" customWidth="1"/>
    <col min="13" max="13" width="9" style="1" hidden="1" customWidth="1"/>
    <col min="14" max="14" width="15.375" style="1" customWidth="1"/>
    <col min="15" max="15" width="15.25" style="1" customWidth="1"/>
    <col min="16" max="16384" width="9" style="1"/>
  </cols>
  <sheetData>
    <row r="1" spans="1:15" ht="17.25" x14ac:dyDescent="0.15">
      <c r="A1" s="1452" t="s">
        <v>880</v>
      </c>
      <c r="B1" s="1452"/>
      <c r="C1" s="1452"/>
      <c r="D1" s="1452"/>
      <c r="E1" s="1452"/>
      <c r="F1" s="1452"/>
      <c r="G1" s="1452"/>
      <c r="H1" s="1452"/>
      <c r="I1" s="1452"/>
      <c r="J1" s="1452"/>
      <c r="K1" s="1452"/>
      <c r="L1" s="1452"/>
      <c r="M1" s="1452"/>
      <c r="N1" s="1452"/>
      <c r="O1" s="1452"/>
    </row>
    <row r="2" spans="1:15" ht="24.7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25" customHeight="1" x14ac:dyDescent="0.15">
      <c r="A3" s="1446" t="s">
        <v>47</v>
      </c>
      <c r="B3" s="1446" t="s">
        <v>48</v>
      </c>
      <c r="C3" s="1446" t="s">
        <v>73</v>
      </c>
      <c r="D3" s="1446" t="s">
        <v>49</v>
      </c>
      <c r="E3" s="1444" t="s">
        <v>75</v>
      </c>
      <c r="F3" s="1448" t="s">
        <v>62</v>
      </c>
      <c r="G3" s="1449"/>
      <c r="H3" s="1449"/>
      <c r="I3" s="1449"/>
      <c r="J3" s="1449"/>
      <c r="K3" s="1450"/>
      <c r="L3" s="1442" t="s">
        <v>53</v>
      </c>
      <c r="M3" s="1442" t="s">
        <v>54</v>
      </c>
      <c r="N3" s="1444" t="s">
        <v>67</v>
      </c>
      <c r="O3" s="1444" t="s">
        <v>50</v>
      </c>
    </row>
    <row r="4" spans="1:15" ht="30" customHeight="1" x14ac:dyDescent="0.15">
      <c r="A4" s="1447"/>
      <c r="B4" s="1447"/>
      <c r="C4" s="1447"/>
      <c r="D4" s="1447"/>
      <c r="E4" s="1445"/>
      <c r="F4" s="850" t="s">
        <v>66</v>
      </c>
      <c r="G4" s="850" t="s">
        <v>65</v>
      </c>
      <c r="H4" s="850" t="s">
        <v>66</v>
      </c>
      <c r="I4" s="850" t="s">
        <v>65</v>
      </c>
      <c r="J4" s="851" t="s">
        <v>65</v>
      </c>
      <c r="K4" s="850" t="s">
        <v>63</v>
      </c>
      <c r="L4" s="1443"/>
      <c r="M4" s="1443"/>
      <c r="N4" s="1445"/>
      <c r="O4" s="1445"/>
    </row>
    <row r="5" spans="1:15" ht="45" customHeight="1" x14ac:dyDescent="0.15">
      <c r="A5" s="901">
        <v>1</v>
      </c>
      <c r="B5" s="902"/>
      <c r="C5" s="903" t="s">
        <v>325</v>
      </c>
      <c r="D5" s="855" t="s">
        <v>223</v>
      </c>
      <c r="E5" s="856">
        <v>12000000</v>
      </c>
      <c r="F5" s="856"/>
      <c r="G5" s="857"/>
      <c r="H5" s="858"/>
      <c r="I5" s="858"/>
      <c r="J5" s="858"/>
      <c r="K5" s="858"/>
      <c r="L5" s="858"/>
      <c r="M5" s="858"/>
      <c r="N5" s="904">
        <f>SUM(E5:M5)</f>
        <v>12000000</v>
      </c>
      <c r="O5" s="905"/>
    </row>
    <row r="6" spans="1:15" ht="45" hidden="1" customHeight="1" x14ac:dyDescent="0.15">
      <c r="A6" s="901">
        <v>2</v>
      </c>
      <c r="B6" s="902"/>
      <c r="C6" s="902"/>
      <c r="D6" s="855"/>
      <c r="E6" s="856"/>
      <c r="F6" s="856"/>
      <c r="G6" s="857"/>
      <c r="H6" s="858"/>
      <c r="I6" s="858"/>
      <c r="J6" s="858"/>
      <c r="K6" s="858"/>
      <c r="L6" s="858"/>
      <c r="M6" s="858"/>
      <c r="N6" s="904"/>
      <c r="O6" s="905"/>
    </row>
    <row r="7" spans="1:15" ht="45" hidden="1" customHeight="1" x14ac:dyDescent="0.15">
      <c r="A7" s="901">
        <v>3</v>
      </c>
      <c r="B7" s="902"/>
      <c r="C7" s="902"/>
      <c r="D7" s="855"/>
      <c r="E7" s="856"/>
      <c r="F7" s="856"/>
      <c r="G7" s="857"/>
      <c r="H7" s="858"/>
      <c r="I7" s="858"/>
      <c r="J7" s="858"/>
      <c r="K7" s="858"/>
      <c r="L7" s="858"/>
      <c r="M7" s="858"/>
      <c r="N7" s="904"/>
      <c r="O7" s="901"/>
    </row>
    <row r="8" spans="1:15" ht="45" hidden="1" customHeight="1" x14ac:dyDescent="0.15">
      <c r="A8" s="901">
        <v>4</v>
      </c>
      <c r="B8" s="902"/>
      <c r="C8" s="902"/>
      <c r="D8" s="855"/>
      <c r="E8" s="856"/>
      <c r="F8" s="856"/>
      <c r="G8" s="857"/>
      <c r="H8" s="858"/>
      <c r="I8" s="858"/>
      <c r="J8" s="858"/>
      <c r="K8" s="858"/>
      <c r="L8" s="858"/>
      <c r="M8" s="858"/>
      <c r="N8" s="904"/>
      <c r="O8" s="901"/>
    </row>
    <row r="9" spans="1:15" ht="45" hidden="1" customHeight="1" x14ac:dyDescent="0.15">
      <c r="A9" s="901">
        <v>5</v>
      </c>
      <c r="B9" s="905"/>
      <c r="C9" s="905"/>
      <c r="D9" s="883"/>
      <c r="E9" s="856"/>
      <c r="F9" s="856"/>
      <c r="G9" s="857"/>
      <c r="H9" s="858"/>
      <c r="I9" s="858"/>
      <c r="J9" s="858"/>
      <c r="K9" s="858"/>
      <c r="L9" s="858"/>
      <c r="M9" s="858"/>
      <c r="N9" s="904"/>
      <c r="O9" s="901"/>
    </row>
    <row r="10" spans="1:15" ht="45" hidden="1" customHeight="1" x14ac:dyDescent="0.15">
      <c r="A10" s="901">
        <v>6</v>
      </c>
      <c r="B10" s="905"/>
      <c r="C10" s="905"/>
      <c r="D10" s="883"/>
      <c r="E10" s="856"/>
      <c r="F10" s="856"/>
      <c r="G10" s="857"/>
      <c r="H10" s="858"/>
      <c r="I10" s="858"/>
      <c r="J10" s="858"/>
      <c r="K10" s="858"/>
      <c r="L10" s="858"/>
      <c r="M10" s="858"/>
      <c r="N10" s="904"/>
      <c r="O10" s="906"/>
    </row>
    <row r="11" spans="1:15" ht="45" customHeight="1" x14ac:dyDescent="0.15">
      <c r="A11" s="1468" t="s">
        <v>51</v>
      </c>
      <c r="B11" s="1469"/>
      <c r="C11" s="1469"/>
      <c r="D11" s="1470"/>
      <c r="E11" s="904"/>
      <c r="F11" s="904"/>
      <c r="G11" s="904"/>
      <c r="H11" s="904"/>
      <c r="I11" s="904"/>
      <c r="J11" s="904"/>
      <c r="K11" s="904"/>
      <c r="L11" s="904"/>
      <c r="M11" s="904"/>
      <c r="N11" s="904">
        <f>SUM(N5:N10)</f>
        <v>12000000</v>
      </c>
      <c r="O11" s="907"/>
    </row>
    <row r="12" spans="1:15" ht="35.1" customHeight="1" x14ac:dyDescent="0.15">
      <c r="A12" s="908"/>
      <c r="B12" s="908"/>
      <c r="C12" s="908"/>
      <c r="D12" s="908"/>
      <c r="E12" s="909"/>
      <c r="F12" s="909"/>
      <c r="G12" s="909"/>
      <c r="H12" s="909"/>
      <c r="I12" s="909"/>
      <c r="J12" s="909"/>
      <c r="K12" s="909"/>
      <c r="L12" s="909"/>
      <c r="M12" s="909"/>
      <c r="N12" s="909"/>
      <c r="O12" s="863"/>
    </row>
    <row r="13" spans="1:15" ht="35.1" customHeight="1" x14ac:dyDescent="0.15">
      <c r="A13" s="1458"/>
      <c r="B13" s="1458"/>
      <c r="C13" s="1458"/>
      <c r="D13" s="1458"/>
      <c r="E13" s="1458"/>
      <c r="F13" s="1458"/>
      <c r="G13" s="1458"/>
      <c r="H13" s="1458"/>
      <c r="I13" s="1458"/>
      <c r="J13" s="1458"/>
      <c r="K13" s="1458"/>
      <c r="L13" s="1458"/>
      <c r="M13" s="1458"/>
      <c r="N13" s="1458"/>
      <c r="O13" s="863"/>
    </row>
    <row r="14" spans="1:15" ht="35.1" customHeight="1" x14ac:dyDescent="0.15"/>
    <row r="15" spans="1:15" ht="35.1" customHeight="1" x14ac:dyDescent="0.15"/>
    <row r="16" spans="1:15" ht="35.1" customHeight="1" x14ac:dyDescent="0.15"/>
    <row r="17" ht="35.1" customHeight="1" x14ac:dyDescent="0.15"/>
    <row r="18" ht="35.1" customHeight="1" x14ac:dyDescent="0.15"/>
    <row r="19" ht="35.1" customHeight="1" x14ac:dyDescent="0.15"/>
    <row r="20" ht="35.1" customHeight="1" x14ac:dyDescent="0.15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5" type="noConversion"/>
  <pageMargins left="0.70866141732283472" right="0.70866141732283472" top="0.94" bottom="0.74803149606299213" header="0.31496062992125984" footer="0.31496062992125984"/>
  <pageSetup paperSize="9" fitToHeight="0" orientation="landscape" horizontalDpi="4294967293" verticalDpi="4294967293" r:id="rId1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P144"/>
  <sheetViews>
    <sheetView topLeftCell="A80" workbookViewId="0">
      <selection activeCell="AJ121" sqref="AJ121"/>
    </sheetView>
  </sheetViews>
  <sheetFormatPr defaultRowHeight="13.5" x14ac:dyDescent="0.15"/>
  <cols>
    <col min="1" max="1" width="4.375" style="94" customWidth="1"/>
    <col min="2" max="2" width="6.625" style="170" customWidth="1"/>
    <col min="3" max="3" width="9.125" style="170" customWidth="1"/>
    <col min="4" max="4" width="11" style="104" hidden="1" customWidth="1"/>
    <col min="5" max="6" width="6.625" style="94" hidden="1" customWidth="1"/>
    <col min="7" max="7" width="9.5" style="110" customWidth="1"/>
    <col min="8" max="8" width="7.5" style="171" customWidth="1"/>
    <col min="9" max="9" width="2.375" style="171" customWidth="1"/>
    <col min="10" max="10" width="2.25" style="104" customWidth="1"/>
    <col min="11" max="11" width="2.5" style="171" customWidth="1"/>
    <col min="12" max="13" width="2.375" style="104" customWidth="1"/>
    <col min="14" max="14" width="2.625" style="110" customWidth="1"/>
    <col min="15" max="15" width="3.375" style="104" customWidth="1"/>
    <col min="16" max="16" width="2.25" style="104" customWidth="1"/>
    <col min="17" max="17" width="4.625" style="172" hidden="1" customWidth="1"/>
    <col min="18" max="18" width="9.25" style="171" customWidth="1"/>
    <col min="19" max="19" width="10" style="171" hidden="1" customWidth="1"/>
    <col min="20" max="20" width="7.625" style="171" hidden="1" customWidth="1"/>
    <col min="21" max="21" width="11.125" style="171" hidden="1" customWidth="1"/>
    <col min="22" max="22" width="9.75" style="171" hidden="1" customWidth="1"/>
    <col min="23" max="25" width="11" style="171" hidden="1" customWidth="1"/>
    <col min="26" max="26" width="10" style="171" hidden="1" customWidth="1"/>
    <col min="27" max="27" width="8.875" style="171" hidden="1" customWidth="1"/>
    <col min="28" max="28" width="10.625" style="171" hidden="1" customWidth="1"/>
    <col min="29" max="29" width="8.375" style="171" hidden="1" customWidth="1"/>
    <col min="30" max="30" width="1.875" style="171" hidden="1" customWidth="1"/>
    <col min="31" max="31" width="22.375" style="105" customWidth="1"/>
    <col min="32" max="32" width="11.875" style="138" hidden="1" customWidth="1"/>
    <col min="33" max="33" width="7" style="138" hidden="1" customWidth="1"/>
    <col min="34" max="34" width="5.375" style="138" hidden="1" customWidth="1"/>
    <col min="35" max="35" width="13" style="138" customWidth="1"/>
    <col min="36" max="36" width="15.125" style="138" customWidth="1"/>
    <col min="37" max="37" width="25.75" style="107" customWidth="1"/>
    <col min="38" max="38" width="12.625" style="138" customWidth="1"/>
    <col min="39" max="39" width="12.875" style="138" customWidth="1"/>
    <col min="40" max="40" width="11.25" style="138" customWidth="1"/>
    <col min="41" max="42" width="9" style="138"/>
    <col min="43" max="43" width="10.5" style="93" bestFit="1" customWidth="1"/>
    <col min="44" max="16384" width="9" style="93"/>
  </cols>
  <sheetData>
    <row r="2" spans="1:42" s="107" customFormat="1" ht="21.75" customHeight="1" x14ac:dyDescent="0.15">
      <c r="A2" s="1488" t="s">
        <v>326</v>
      </c>
      <c r="B2" s="1488"/>
      <c r="C2" s="1488"/>
      <c r="D2" s="1488"/>
      <c r="E2" s="1488"/>
      <c r="F2" s="1488"/>
      <c r="G2" s="1488"/>
      <c r="H2" s="1488"/>
      <c r="I2" s="1488"/>
      <c r="J2" s="1488"/>
      <c r="K2" s="1488"/>
      <c r="L2" s="1488"/>
      <c r="M2" s="1488"/>
      <c r="N2" s="1488"/>
      <c r="O2" s="1488"/>
      <c r="P2" s="1488"/>
      <c r="Q2" s="103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5"/>
      <c r="AF2" s="106"/>
      <c r="AG2" s="106"/>
      <c r="AH2" s="106"/>
      <c r="AI2" s="106"/>
      <c r="AJ2" s="106"/>
      <c r="AL2" s="106"/>
      <c r="AM2" s="106"/>
      <c r="AN2" s="106"/>
      <c r="AO2" s="106"/>
      <c r="AP2" s="106"/>
    </row>
    <row r="3" spans="1:42" s="107" customFormat="1" ht="22.5" customHeight="1" thickBot="1" x14ac:dyDescent="0.2">
      <c r="A3" s="108"/>
      <c r="B3" s="108"/>
      <c r="C3" s="108"/>
      <c r="D3" s="108"/>
      <c r="E3" s="108"/>
      <c r="F3" s="108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3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10" t="s">
        <v>244</v>
      </c>
      <c r="AF3" s="106"/>
      <c r="AG3" s="106"/>
      <c r="AH3" s="106"/>
      <c r="AI3" s="106"/>
      <c r="AJ3" s="106"/>
      <c r="AL3" s="106"/>
      <c r="AM3" s="106"/>
      <c r="AN3" s="106"/>
      <c r="AO3" s="106"/>
      <c r="AP3" s="106"/>
    </row>
    <row r="4" spans="1:42" s="107" customFormat="1" ht="20.25" customHeight="1" thickBot="1" x14ac:dyDescent="0.2">
      <c r="A4" s="111" t="s">
        <v>327</v>
      </c>
      <c r="B4" s="1489" t="s">
        <v>328</v>
      </c>
      <c r="C4" s="1490"/>
      <c r="D4" s="112"/>
      <c r="E4" s="113"/>
      <c r="F4" s="113"/>
      <c r="G4" s="112" t="s">
        <v>329</v>
      </c>
      <c r="H4" s="1491"/>
      <c r="I4" s="1491"/>
      <c r="J4" s="1491"/>
      <c r="K4" s="1491"/>
      <c r="L4" s="1491"/>
      <c r="M4" s="1491"/>
      <c r="N4" s="1491"/>
      <c r="O4" s="1491"/>
      <c r="P4" s="1491"/>
      <c r="Q4" s="1491"/>
      <c r="R4" s="149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4" t="s">
        <v>330</v>
      </c>
      <c r="AF4" s="106"/>
      <c r="AG4" s="106"/>
      <c r="AH4" s="106"/>
      <c r="AI4" s="106"/>
      <c r="AJ4" s="106"/>
      <c r="AL4" s="106"/>
      <c r="AM4" s="106"/>
      <c r="AN4" s="106"/>
      <c r="AO4" s="106"/>
      <c r="AP4" s="106"/>
    </row>
    <row r="5" spans="1:42" s="107" customFormat="1" ht="15.75" customHeight="1" thickTop="1" x14ac:dyDescent="0.15">
      <c r="A5" s="1493" t="s">
        <v>253</v>
      </c>
      <c r="B5" s="1494"/>
      <c r="C5" s="1495"/>
      <c r="D5" s="115"/>
      <c r="E5" s="116"/>
      <c r="F5" s="116"/>
      <c r="G5" s="117">
        <f>ROUND(G16+G25+G34+G43+G52+G61+G70+G79+G88+G97+G107+G116,-1)</f>
        <v>194641680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9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20"/>
      <c r="AF5" s="106"/>
      <c r="AG5" s="106"/>
      <c r="AH5" s="106"/>
      <c r="AI5" s="106"/>
      <c r="AJ5" s="106"/>
      <c r="AL5" s="106"/>
      <c r="AM5" s="106"/>
      <c r="AN5" s="106"/>
      <c r="AO5" s="106"/>
      <c r="AP5" s="106"/>
    </row>
    <row r="6" spans="1:42" s="128" customFormat="1" ht="15.75" customHeight="1" x14ac:dyDescent="0.15">
      <c r="A6" s="1476" t="s">
        <v>331</v>
      </c>
      <c r="B6" s="1479" t="s">
        <v>258</v>
      </c>
      <c r="C6" s="1480"/>
      <c r="D6" s="121"/>
      <c r="E6" s="122"/>
      <c r="F6" s="122"/>
      <c r="G6" s="123">
        <f>G7+G9+G11+G13</f>
        <v>195371700</v>
      </c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5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6" t="s">
        <v>332</v>
      </c>
      <c r="AF6" s="127"/>
      <c r="AG6" s="127"/>
      <c r="AH6" s="127"/>
      <c r="AI6" s="127"/>
      <c r="AJ6" s="127"/>
      <c r="AL6" s="127"/>
      <c r="AM6" s="127"/>
      <c r="AN6" s="127"/>
      <c r="AO6" s="127"/>
      <c r="AP6" s="127"/>
    </row>
    <row r="7" spans="1:42" s="128" customFormat="1" ht="15.75" customHeight="1" x14ac:dyDescent="0.15">
      <c r="A7" s="1477"/>
      <c r="B7" s="1481" t="s">
        <v>333</v>
      </c>
      <c r="C7" s="122" t="s">
        <v>258</v>
      </c>
      <c r="D7" s="121"/>
      <c r="E7" s="122"/>
      <c r="F7" s="122"/>
      <c r="G7" s="123">
        <f>G8</f>
        <v>6000000</v>
      </c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9"/>
      <c r="AF7" s="127"/>
      <c r="AG7" s="127"/>
      <c r="AH7" s="127"/>
      <c r="AI7" s="127"/>
      <c r="AJ7" s="127"/>
      <c r="AL7" s="127"/>
      <c r="AM7" s="127"/>
      <c r="AN7" s="127"/>
      <c r="AO7" s="127"/>
      <c r="AP7" s="127"/>
    </row>
    <row r="8" spans="1:42" ht="15.75" customHeight="1" x14ac:dyDescent="0.15">
      <c r="A8" s="1477"/>
      <c r="B8" s="1482"/>
      <c r="C8" s="122" t="s">
        <v>334</v>
      </c>
      <c r="D8" s="130"/>
      <c r="E8" s="131"/>
      <c r="F8" s="131"/>
      <c r="G8" s="123">
        <f>G18+G27+G36+G45+G54+G63+G72+G81+G90+G99+G109+G118</f>
        <v>6000000</v>
      </c>
      <c r="H8" s="132">
        <v>50000</v>
      </c>
      <c r="I8" s="132" t="s">
        <v>136</v>
      </c>
      <c r="J8" s="133"/>
      <c r="K8" s="132"/>
      <c r="L8" s="133"/>
      <c r="M8" s="133"/>
      <c r="N8" s="134"/>
      <c r="O8" s="133"/>
      <c r="P8" s="133"/>
      <c r="Q8" s="135"/>
      <c r="R8" s="136">
        <f>G8</f>
        <v>6000000</v>
      </c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29" t="s">
        <v>335</v>
      </c>
    </row>
    <row r="9" spans="1:42" ht="15.75" customHeight="1" x14ac:dyDescent="0.15">
      <c r="A9" s="1477"/>
      <c r="B9" s="1497" t="s">
        <v>336</v>
      </c>
      <c r="C9" s="122" t="s">
        <v>258</v>
      </c>
      <c r="D9" s="130"/>
      <c r="E9" s="131"/>
      <c r="F9" s="131"/>
      <c r="G9" s="123">
        <f>G10</f>
        <v>186971700</v>
      </c>
      <c r="H9" s="132"/>
      <c r="I9" s="132"/>
      <c r="J9" s="133"/>
      <c r="K9" s="132"/>
      <c r="L9" s="133"/>
      <c r="M9" s="133"/>
      <c r="N9" s="134"/>
      <c r="O9" s="133"/>
      <c r="P9" s="133"/>
      <c r="Q9" s="135"/>
      <c r="R9" s="136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29"/>
    </row>
    <row r="10" spans="1:42" ht="15.75" customHeight="1" x14ac:dyDescent="0.15">
      <c r="A10" s="1477"/>
      <c r="B10" s="1498"/>
      <c r="C10" s="139" t="s">
        <v>336</v>
      </c>
      <c r="D10" s="130"/>
      <c r="E10" s="131"/>
      <c r="F10" s="131"/>
      <c r="G10" s="140">
        <f>ROUND(G20+G29+G38+G47+G56+G65+G74+G83+G92+G101+G111+G120,-1)+730020</f>
        <v>186971700</v>
      </c>
      <c r="H10" s="132">
        <v>258669</v>
      </c>
      <c r="I10" s="132" t="s">
        <v>136</v>
      </c>
      <c r="J10" s="133"/>
      <c r="K10" s="132"/>
      <c r="L10" s="133"/>
      <c r="M10" s="133"/>
      <c r="N10" s="134"/>
      <c r="O10" s="133"/>
      <c r="P10" s="133"/>
      <c r="Q10" s="135"/>
      <c r="R10" s="136">
        <f>G10</f>
        <v>186971700</v>
      </c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29" t="s">
        <v>337</v>
      </c>
    </row>
    <row r="11" spans="1:42" ht="15.75" customHeight="1" x14ac:dyDescent="0.15">
      <c r="A11" s="1477"/>
      <c r="B11" s="1499" t="s">
        <v>338</v>
      </c>
      <c r="C11" s="122" t="s">
        <v>258</v>
      </c>
      <c r="D11" s="130"/>
      <c r="E11" s="131"/>
      <c r="F11" s="131"/>
      <c r="G11" s="140">
        <f>G12</f>
        <v>2400000</v>
      </c>
      <c r="H11" s="132"/>
      <c r="I11" s="132"/>
      <c r="J11" s="133"/>
      <c r="K11" s="132"/>
      <c r="L11" s="133"/>
      <c r="M11" s="133"/>
      <c r="N11" s="134"/>
      <c r="O11" s="133"/>
      <c r="P11" s="133"/>
      <c r="Q11" s="135"/>
      <c r="R11" s="136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29"/>
    </row>
    <row r="12" spans="1:42" ht="15.75" customHeight="1" x14ac:dyDescent="0.15">
      <c r="A12" s="1477"/>
      <c r="B12" s="1500"/>
      <c r="C12" s="122" t="s">
        <v>338</v>
      </c>
      <c r="D12" s="130"/>
      <c r="E12" s="131"/>
      <c r="F12" s="131"/>
      <c r="G12" s="123">
        <f>G21+G30+G39+G48+G57+G66+G75+G84+G93+G103+G112+G121</f>
        <v>2400000</v>
      </c>
      <c r="H12" s="132">
        <v>40000</v>
      </c>
      <c r="I12" s="132" t="s">
        <v>136</v>
      </c>
      <c r="J12" s="133"/>
      <c r="K12" s="132"/>
      <c r="L12" s="133"/>
      <c r="M12" s="133"/>
      <c r="N12" s="134"/>
      <c r="O12" s="133"/>
      <c r="P12" s="133"/>
      <c r="Q12" s="135"/>
      <c r="R12" s="136">
        <f>G12</f>
        <v>2400000</v>
      </c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29" t="s">
        <v>339</v>
      </c>
    </row>
    <row r="13" spans="1:42" ht="15.75" customHeight="1" x14ac:dyDescent="0.15">
      <c r="A13" s="1477"/>
      <c r="B13" s="122" t="s">
        <v>258</v>
      </c>
      <c r="C13" s="122" t="s">
        <v>258</v>
      </c>
      <c r="D13" s="130"/>
      <c r="E13" s="131"/>
      <c r="F13" s="131"/>
      <c r="G13" s="123">
        <f>G14+G15</f>
        <v>0</v>
      </c>
      <c r="H13" s="132"/>
      <c r="I13" s="132"/>
      <c r="J13" s="133"/>
      <c r="K13" s="132"/>
      <c r="L13" s="133"/>
      <c r="M13" s="133"/>
      <c r="N13" s="134"/>
      <c r="O13" s="133"/>
      <c r="P13" s="133"/>
      <c r="Q13" s="135"/>
      <c r="R13" s="136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29"/>
    </row>
    <row r="14" spans="1:42" ht="15.75" customHeight="1" x14ac:dyDescent="0.15">
      <c r="A14" s="1477"/>
      <c r="B14" s="122" t="s">
        <v>288</v>
      </c>
      <c r="C14" s="122" t="s">
        <v>288</v>
      </c>
      <c r="D14" s="130"/>
      <c r="E14" s="131"/>
      <c r="F14" s="131"/>
      <c r="G14" s="123">
        <f>G77</f>
        <v>0</v>
      </c>
      <c r="H14" s="132">
        <f>G14/12/51</f>
        <v>0</v>
      </c>
      <c r="I14" s="132"/>
      <c r="J14" s="133"/>
      <c r="K14" s="132"/>
      <c r="L14" s="133"/>
      <c r="M14" s="133"/>
      <c r="N14" s="134"/>
      <c r="O14" s="133"/>
      <c r="P14" s="133"/>
      <c r="Q14" s="135"/>
      <c r="R14" s="136">
        <f>G14</f>
        <v>0</v>
      </c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29" t="s">
        <v>337</v>
      </c>
    </row>
    <row r="15" spans="1:42" ht="15.75" customHeight="1" x14ac:dyDescent="0.15">
      <c r="A15" s="1496"/>
      <c r="B15" s="141"/>
      <c r="C15" s="141"/>
      <c r="D15" s="142"/>
      <c r="E15" s="143"/>
      <c r="F15" s="143"/>
      <c r="G15" s="144"/>
      <c r="H15" s="145"/>
      <c r="I15" s="145"/>
      <c r="J15" s="146"/>
      <c r="K15" s="145"/>
      <c r="L15" s="146"/>
      <c r="M15" s="146"/>
      <c r="N15" s="147"/>
      <c r="O15" s="146"/>
      <c r="P15" s="146"/>
      <c r="Q15" s="148"/>
      <c r="R15" s="149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1"/>
    </row>
    <row r="16" spans="1:42" s="128" customFormat="1" ht="15.75" customHeight="1" x14ac:dyDescent="0.15">
      <c r="A16" s="1477" t="s">
        <v>340</v>
      </c>
      <c r="B16" s="1486" t="s">
        <v>258</v>
      </c>
      <c r="C16" s="1487"/>
      <c r="D16" s="152"/>
      <c r="E16" s="153"/>
      <c r="F16" s="153"/>
      <c r="G16" s="154">
        <f>G17+G19+G22</f>
        <v>18520140</v>
      </c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6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26" t="s">
        <v>332</v>
      </c>
      <c r="AF16" s="127"/>
      <c r="AG16" s="127"/>
      <c r="AH16" s="127"/>
      <c r="AI16" s="127"/>
      <c r="AJ16" s="127"/>
      <c r="AL16" s="127"/>
      <c r="AM16" s="127"/>
      <c r="AN16" s="127"/>
      <c r="AO16" s="127"/>
      <c r="AP16" s="127"/>
    </row>
    <row r="17" spans="1:42" s="128" customFormat="1" ht="15.75" customHeight="1" x14ac:dyDescent="0.15">
      <c r="A17" s="1477"/>
      <c r="B17" s="1481" t="s">
        <v>333</v>
      </c>
      <c r="C17" s="122" t="s">
        <v>258</v>
      </c>
      <c r="D17" s="121"/>
      <c r="E17" s="122"/>
      <c r="F17" s="122"/>
      <c r="G17" s="123">
        <f>G18</f>
        <v>3000000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9"/>
      <c r="AF17" s="127"/>
      <c r="AG17" s="127"/>
      <c r="AH17" s="127"/>
      <c r="AI17" s="127"/>
      <c r="AJ17" s="127"/>
      <c r="AL17" s="127"/>
      <c r="AM17" s="127"/>
      <c r="AN17" s="127"/>
      <c r="AO17" s="127"/>
      <c r="AP17" s="127"/>
    </row>
    <row r="18" spans="1:42" ht="15.75" customHeight="1" x14ac:dyDescent="0.15">
      <c r="A18" s="1477"/>
      <c r="B18" s="1482"/>
      <c r="C18" s="122" t="s">
        <v>334</v>
      </c>
      <c r="D18" s="130"/>
      <c r="E18" s="131"/>
      <c r="F18" s="131"/>
      <c r="G18" s="123">
        <f>R18</f>
        <v>3000000</v>
      </c>
      <c r="H18" s="132">
        <f>H8</f>
        <v>50000</v>
      </c>
      <c r="I18" s="132" t="s">
        <v>341</v>
      </c>
      <c r="J18" s="133" t="s">
        <v>342</v>
      </c>
      <c r="K18" s="132">
        <v>60</v>
      </c>
      <c r="L18" s="133" t="s">
        <v>343</v>
      </c>
      <c r="M18" s="133" t="s">
        <v>342</v>
      </c>
      <c r="N18" s="134">
        <v>1</v>
      </c>
      <c r="O18" s="133" t="s">
        <v>344</v>
      </c>
      <c r="P18" s="133" t="s">
        <v>345</v>
      </c>
      <c r="Q18" s="135"/>
      <c r="R18" s="136">
        <f>H18*K18*N18</f>
        <v>3000000</v>
      </c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29"/>
    </row>
    <row r="19" spans="1:42" ht="15.75" customHeight="1" x14ac:dyDescent="0.15">
      <c r="A19" s="1477"/>
      <c r="B19" s="1481" t="s">
        <v>336</v>
      </c>
      <c r="C19" s="122" t="s">
        <v>258</v>
      </c>
      <c r="D19" s="130"/>
      <c r="E19" s="131"/>
      <c r="F19" s="131"/>
      <c r="G19" s="123">
        <f>SUM(G20:G21)</f>
        <v>15520140</v>
      </c>
      <c r="H19" s="132"/>
      <c r="I19" s="132"/>
      <c r="J19" s="133"/>
      <c r="K19" s="132"/>
      <c r="L19" s="133"/>
      <c r="M19" s="133"/>
      <c r="N19" s="134"/>
      <c r="O19" s="133"/>
      <c r="P19" s="133"/>
      <c r="Q19" s="135"/>
      <c r="R19" s="136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29"/>
    </row>
    <row r="20" spans="1:42" ht="18" customHeight="1" x14ac:dyDescent="0.15">
      <c r="A20" s="1477"/>
      <c r="B20" s="1483"/>
      <c r="C20" s="157" t="s">
        <v>336</v>
      </c>
      <c r="D20" s="130"/>
      <c r="E20" s="131"/>
      <c r="F20" s="131"/>
      <c r="G20" s="140">
        <f>R20</f>
        <v>15520140</v>
      </c>
      <c r="H20" s="132">
        <v>258669</v>
      </c>
      <c r="I20" s="132" t="s">
        <v>341</v>
      </c>
      <c r="J20" s="133" t="s">
        <v>342</v>
      </c>
      <c r="K20" s="132">
        <v>60</v>
      </c>
      <c r="L20" s="133" t="s">
        <v>343</v>
      </c>
      <c r="M20" s="133" t="s">
        <v>342</v>
      </c>
      <c r="N20" s="134">
        <v>1</v>
      </c>
      <c r="O20" s="133" t="s">
        <v>327</v>
      </c>
      <c r="P20" s="133" t="s">
        <v>345</v>
      </c>
      <c r="Q20" s="135"/>
      <c r="R20" s="136">
        <f>ROUND(H20*K20*N20,-1)</f>
        <v>15520140</v>
      </c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29"/>
    </row>
    <row r="21" spans="1:42" ht="15.75" customHeight="1" x14ac:dyDescent="0.15">
      <c r="A21" s="1477"/>
      <c r="B21" s="1482"/>
      <c r="C21" s="122" t="s">
        <v>338</v>
      </c>
      <c r="D21" s="130"/>
      <c r="E21" s="131"/>
      <c r="F21" s="131"/>
      <c r="G21" s="123"/>
      <c r="H21" s="132"/>
      <c r="I21" s="132"/>
      <c r="J21" s="133"/>
      <c r="K21" s="132"/>
      <c r="L21" s="133"/>
      <c r="M21" s="133"/>
      <c r="N21" s="134"/>
      <c r="O21" s="133"/>
      <c r="P21" s="133"/>
      <c r="Q21" s="135"/>
      <c r="R21" s="136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29"/>
    </row>
    <row r="22" spans="1:42" ht="15.75" hidden="1" customHeight="1" x14ac:dyDescent="0.15">
      <c r="A22" s="1477"/>
      <c r="B22" s="1481" t="s">
        <v>288</v>
      </c>
      <c r="C22" s="122" t="s">
        <v>258</v>
      </c>
      <c r="D22" s="130"/>
      <c r="E22" s="131"/>
      <c r="F22" s="131"/>
      <c r="G22" s="123">
        <f>SUM(G23:G24)</f>
        <v>0</v>
      </c>
      <c r="H22" s="132"/>
      <c r="I22" s="132"/>
      <c r="J22" s="133"/>
      <c r="K22" s="132"/>
      <c r="L22" s="133"/>
      <c r="M22" s="133"/>
      <c r="N22" s="134"/>
      <c r="O22" s="133"/>
      <c r="P22" s="133"/>
      <c r="Q22" s="135"/>
      <c r="R22" s="136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29"/>
    </row>
    <row r="23" spans="1:42" ht="15.75" hidden="1" customHeight="1" x14ac:dyDescent="0.15">
      <c r="A23" s="1477"/>
      <c r="B23" s="1483"/>
      <c r="C23" s="122" t="s">
        <v>288</v>
      </c>
      <c r="D23" s="130"/>
      <c r="E23" s="131"/>
      <c r="F23" s="131"/>
      <c r="G23" s="123">
        <f>R23</f>
        <v>0</v>
      </c>
      <c r="H23" s="132"/>
      <c r="I23" s="132" t="s">
        <v>341</v>
      </c>
      <c r="J23" s="133" t="s">
        <v>342</v>
      </c>
      <c r="K23" s="132">
        <v>51</v>
      </c>
      <c r="L23" s="133" t="s">
        <v>343</v>
      </c>
      <c r="M23" s="133" t="s">
        <v>342</v>
      </c>
      <c r="N23" s="134">
        <v>1</v>
      </c>
      <c r="O23" s="133" t="s">
        <v>346</v>
      </c>
      <c r="P23" s="133" t="s">
        <v>345</v>
      </c>
      <c r="Q23" s="135"/>
      <c r="R23" s="136">
        <f>ROUND(H23*K23*N23,-1)</f>
        <v>0</v>
      </c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29"/>
    </row>
    <row r="24" spans="1:42" ht="15.75" hidden="1" customHeight="1" x14ac:dyDescent="0.15">
      <c r="A24" s="1478"/>
      <c r="B24" s="1482"/>
      <c r="C24" s="122" t="s">
        <v>347</v>
      </c>
      <c r="D24" s="130"/>
      <c r="E24" s="131"/>
      <c r="F24" s="131"/>
      <c r="G24" s="123">
        <f>R24</f>
        <v>0</v>
      </c>
      <c r="H24" s="132"/>
      <c r="I24" s="132" t="s">
        <v>341</v>
      </c>
      <c r="J24" s="133" t="s">
        <v>342</v>
      </c>
      <c r="K24" s="132"/>
      <c r="L24" s="133" t="s">
        <v>343</v>
      </c>
      <c r="M24" s="133" t="s">
        <v>342</v>
      </c>
      <c r="N24" s="134"/>
      <c r="O24" s="133" t="s">
        <v>348</v>
      </c>
      <c r="P24" s="133" t="s">
        <v>345</v>
      </c>
      <c r="Q24" s="135"/>
      <c r="R24" s="136">
        <f>H24*K24*N24</f>
        <v>0</v>
      </c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29"/>
    </row>
    <row r="25" spans="1:42" s="128" customFormat="1" ht="15.75" customHeight="1" x14ac:dyDescent="0.15">
      <c r="A25" s="1476" t="s">
        <v>349</v>
      </c>
      <c r="B25" s="1479" t="s">
        <v>258</v>
      </c>
      <c r="C25" s="1480"/>
      <c r="D25" s="152"/>
      <c r="E25" s="153"/>
      <c r="F25" s="153"/>
      <c r="G25" s="154">
        <f>G26+G28+G31</f>
        <v>15520140</v>
      </c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6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26" t="s">
        <v>332</v>
      </c>
      <c r="AF25" s="127"/>
      <c r="AG25" s="127"/>
      <c r="AH25" s="127"/>
      <c r="AI25" s="127"/>
      <c r="AJ25" s="127"/>
      <c r="AL25" s="127"/>
      <c r="AM25" s="127"/>
      <c r="AN25" s="127"/>
      <c r="AO25" s="127"/>
      <c r="AP25" s="127"/>
    </row>
    <row r="26" spans="1:42" s="128" customFormat="1" ht="15.75" customHeight="1" x14ac:dyDescent="0.15">
      <c r="A26" s="1477"/>
      <c r="B26" s="1481" t="s">
        <v>333</v>
      </c>
      <c r="C26" s="122" t="s">
        <v>258</v>
      </c>
      <c r="D26" s="121"/>
      <c r="E26" s="122"/>
      <c r="F26" s="122"/>
      <c r="G26" s="123">
        <f>G27</f>
        <v>0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9"/>
      <c r="AF26" s="127"/>
      <c r="AG26" s="127"/>
      <c r="AH26" s="127"/>
      <c r="AI26" s="127"/>
      <c r="AJ26" s="127"/>
      <c r="AL26" s="127"/>
      <c r="AM26" s="127"/>
      <c r="AN26" s="127"/>
      <c r="AO26" s="127"/>
      <c r="AP26" s="127"/>
    </row>
    <row r="27" spans="1:42" ht="15.75" customHeight="1" x14ac:dyDescent="0.15">
      <c r="A27" s="1477"/>
      <c r="B27" s="1482"/>
      <c r="C27" s="122" t="s">
        <v>334</v>
      </c>
      <c r="D27" s="130"/>
      <c r="E27" s="131"/>
      <c r="F27" s="131"/>
      <c r="G27" s="123">
        <f>R27</f>
        <v>0</v>
      </c>
      <c r="H27" s="132"/>
      <c r="I27" s="132" t="s">
        <v>341</v>
      </c>
      <c r="J27" s="133" t="s">
        <v>342</v>
      </c>
      <c r="K27" s="132"/>
      <c r="L27" s="133" t="s">
        <v>343</v>
      </c>
      <c r="M27" s="133" t="s">
        <v>342</v>
      </c>
      <c r="N27" s="134">
        <v>1</v>
      </c>
      <c r="O27" s="133" t="s">
        <v>344</v>
      </c>
      <c r="P27" s="133" t="s">
        <v>345</v>
      </c>
      <c r="Q27" s="135"/>
      <c r="R27" s="136">
        <f>H27*K27*N27</f>
        <v>0</v>
      </c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29" t="s">
        <v>350</v>
      </c>
    </row>
    <row r="28" spans="1:42" ht="15.75" customHeight="1" x14ac:dyDescent="0.15">
      <c r="A28" s="1477"/>
      <c r="B28" s="1481" t="s">
        <v>336</v>
      </c>
      <c r="C28" s="122" t="s">
        <v>258</v>
      </c>
      <c r="D28" s="130"/>
      <c r="E28" s="131"/>
      <c r="F28" s="131"/>
      <c r="G28" s="123">
        <f>SUM(G29:G30)</f>
        <v>15520140</v>
      </c>
      <c r="H28" s="132"/>
      <c r="I28" s="132"/>
      <c r="J28" s="133"/>
      <c r="K28" s="132"/>
      <c r="L28" s="133"/>
      <c r="M28" s="133"/>
      <c r="N28" s="134"/>
      <c r="O28" s="133"/>
      <c r="P28" s="133"/>
      <c r="Q28" s="135"/>
      <c r="R28" s="136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29"/>
    </row>
    <row r="29" spans="1:42" ht="21.75" customHeight="1" x14ac:dyDescent="0.15">
      <c r="A29" s="1477"/>
      <c r="B29" s="1483"/>
      <c r="C29" s="157" t="s">
        <v>336</v>
      </c>
      <c r="D29" s="130"/>
      <c r="E29" s="131"/>
      <c r="F29" s="131"/>
      <c r="G29" s="140">
        <f>R29</f>
        <v>15520140</v>
      </c>
      <c r="H29" s="132">
        <f>H20</f>
        <v>258669</v>
      </c>
      <c r="I29" s="132" t="s">
        <v>341</v>
      </c>
      <c r="J29" s="133" t="s">
        <v>342</v>
      </c>
      <c r="K29" s="132">
        <v>60</v>
      </c>
      <c r="L29" s="133" t="s">
        <v>343</v>
      </c>
      <c r="M29" s="133" t="s">
        <v>342</v>
      </c>
      <c r="N29" s="134">
        <v>1</v>
      </c>
      <c r="O29" s="133" t="s">
        <v>327</v>
      </c>
      <c r="P29" s="133" t="s">
        <v>345</v>
      </c>
      <c r="Q29" s="135"/>
      <c r="R29" s="136">
        <f>ROUND(H29*K29*N29,-1)</f>
        <v>15520140</v>
      </c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29"/>
    </row>
    <row r="30" spans="1:42" ht="15.75" customHeight="1" x14ac:dyDescent="0.15">
      <c r="A30" s="1477"/>
      <c r="B30" s="1482"/>
      <c r="C30" s="122" t="s">
        <v>338</v>
      </c>
      <c r="D30" s="130"/>
      <c r="E30" s="131"/>
      <c r="F30" s="131"/>
      <c r="G30" s="123"/>
      <c r="H30" s="132"/>
      <c r="I30" s="132"/>
      <c r="J30" s="133"/>
      <c r="K30" s="132"/>
      <c r="L30" s="133"/>
      <c r="M30" s="133"/>
      <c r="N30" s="134"/>
      <c r="O30" s="133"/>
      <c r="P30" s="133"/>
      <c r="Q30" s="135"/>
      <c r="R30" s="136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29"/>
    </row>
    <row r="31" spans="1:42" ht="15.75" hidden="1" customHeight="1" x14ac:dyDescent="0.15">
      <c r="A31" s="1477"/>
      <c r="B31" s="1481" t="s">
        <v>288</v>
      </c>
      <c r="C31" s="122" t="s">
        <v>258</v>
      </c>
      <c r="D31" s="130"/>
      <c r="E31" s="131"/>
      <c r="F31" s="131"/>
      <c r="G31" s="123">
        <f>SUM(G32:G33)</f>
        <v>0</v>
      </c>
      <c r="H31" s="132"/>
      <c r="I31" s="132"/>
      <c r="J31" s="133"/>
      <c r="K31" s="132"/>
      <c r="L31" s="133"/>
      <c r="M31" s="133"/>
      <c r="N31" s="134"/>
      <c r="O31" s="133"/>
      <c r="P31" s="133"/>
      <c r="Q31" s="135"/>
      <c r="R31" s="136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29"/>
    </row>
    <row r="32" spans="1:42" ht="15.75" hidden="1" customHeight="1" x14ac:dyDescent="0.15">
      <c r="A32" s="1477"/>
      <c r="B32" s="1483"/>
      <c r="C32" s="122" t="s">
        <v>288</v>
      </c>
      <c r="D32" s="130"/>
      <c r="E32" s="131"/>
      <c r="F32" s="131"/>
      <c r="G32" s="123">
        <f>R32</f>
        <v>0</v>
      </c>
      <c r="H32" s="132">
        <f>H23</f>
        <v>0</v>
      </c>
      <c r="I32" s="132" t="s">
        <v>341</v>
      </c>
      <c r="J32" s="133" t="s">
        <v>342</v>
      </c>
      <c r="K32" s="132">
        <v>51</v>
      </c>
      <c r="L32" s="133" t="s">
        <v>343</v>
      </c>
      <c r="M32" s="133" t="s">
        <v>342</v>
      </c>
      <c r="N32" s="134">
        <v>1</v>
      </c>
      <c r="O32" s="133" t="s">
        <v>346</v>
      </c>
      <c r="P32" s="133" t="s">
        <v>345</v>
      </c>
      <c r="Q32" s="135"/>
      <c r="R32" s="136">
        <f>ROUND(H32*K32*N32,-1)</f>
        <v>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29"/>
    </row>
    <row r="33" spans="1:42" ht="15.75" hidden="1" customHeight="1" x14ac:dyDescent="0.15">
      <c r="A33" s="1478"/>
      <c r="B33" s="1482"/>
      <c r="C33" s="122" t="s">
        <v>347</v>
      </c>
      <c r="D33" s="130"/>
      <c r="E33" s="131"/>
      <c r="F33" s="131"/>
      <c r="G33" s="123">
        <f>R33</f>
        <v>0</v>
      </c>
      <c r="H33" s="132"/>
      <c r="I33" s="132" t="s">
        <v>341</v>
      </c>
      <c r="J33" s="133" t="s">
        <v>342</v>
      </c>
      <c r="K33" s="132"/>
      <c r="L33" s="133" t="s">
        <v>343</v>
      </c>
      <c r="M33" s="133" t="s">
        <v>342</v>
      </c>
      <c r="N33" s="134"/>
      <c r="O33" s="133" t="s">
        <v>348</v>
      </c>
      <c r="P33" s="133" t="s">
        <v>345</v>
      </c>
      <c r="Q33" s="135"/>
      <c r="R33" s="136">
        <f>H33*K33*N33</f>
        <v>0</v>
      </c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29"/>
    </row>
    <row r="34" spans="1:42" s="128" customFormat="1" ht="15.75" customHeight="1" x14ac:dyDescent="0.15">
      <c r="A34" s="1476" t="s">
        <v>351</v>
      </c>
      <c r="B34" s="1479" t="s">
        <v>258</v>
      </c>
      <c r="C34" s="1480"/>
      <c r="D34" s="152"/>
      <c r="E34" s="153"/>
      <c r="F34" s="153"/>
      <c r="G34" s="154">
        <f>G35+G37+G40</f>
        <v>15520140</v>
      </c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6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26" t="s">
        <v>332</v>
      </c>
      <c r="AF34" s="127"/>
      <c r="AG34" s="127"/>
      <c r="AH34" s="127"/>
      <c r="AI34" s="127"/>
      <c r="AJ34" s="127"/>
      <c r="AL34" s="127"/>
      <c r="AM34" s="127"/>
      <c r="AN34" s="127"/>
      <c r="AO34" s="127"/>
      <c r="AP34" s="127"/>
    </row>
    <row r="35" spans="1:42" s="128" customFormat="1" ht="15.75" customHeight="1" x14ac:dyDescent="0.15">
      <c r="A35" s="1477"/>
      <c r="B35" s="1481" t="s">
        <v>333</v>
      </c>
      <c r="C35" s="122" t="s">
        <v>258</v>
      </c>
      <c r="D35" s="121"/>
      <c r="E35" s="122"/>
      <c r="F35" s="122"/>
      <c r="G35" s="123">
        <f>G36</f>
        <v>0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9"/>
      <c r="AF35" s="127"/>
      <c r="AG35" s="127"/>
      <c r="AH35" s="127"/>
      <c r="AI35" s="127"/>
      <c r="AJ35" s="127"/>
      <c r="AL35" s="127"/>
      <c r="AM35" s="127"/>
      <c r="AN35" s="127"/>
      <c r="AO35" s="127"/>
      <c r="AP35" s="127"/>
    </row>
    <row r="36" spans="1:42" ht="15.75" customHeight="1" x14ac:dyDescent="0.15">
      <c r="A36" s="1477"/>
      <c r="B36" s="1482"/>
      <c r="C36" s="122" t="s">
        <v>334</v>
      </c>
      <c r="D36" s="130"/>
      <c r="E36" s="131"/>
      <c r="F36" s="131"/>
      <c r="G36" s="123">
        <f>R36</f>
        <v>0</v>
      </c>
      <c r="H36" s="132"/>
      <c r="I36" s="132" t="s">
        <v>341</v>
      </c>
      <c r="J36" s="133" t="s">
        <v>342</v>
      </c>
      <c r="K36" s="132"/>
      <c r="L36" s="133" t="s">
        <v>343</v>
      </c>
      <c r="M36" s="133" t="s">
        <v>342</v>
      </c>
      <c r="N36" s="134"/>
      <c r="O36" s="133" t="s">
        <v>344</v>
      </c>
      <c r="P36" s="133" t="s">
        <v>345</v>
      </c>
      <c r="Q36" s="135"/>
      <c r="R36" s="136">
        <f>H36*K36*N36</f>
        <v>0</v>
      </c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29"/>
    </row>
    <row r="37" spans="1:42" ht="15.75" customHeight="1" x14ac:dyDescent="0.15">
      <c r="A37" s="1477"/>
      <c r="B37" s="1481" t="s">
        <v>336</v>
      </c>
      <c r="C37" s="122" t="s">
        <v>258</v>
      </c>
      <c r="D37" s="130"/>
      <c r="E37" s="131"/>
      <c r="F37" s="131"/>
      <c r="G37" s="123">
        <f>SUM(G38:G39)</f>
        <v>15520140</v>
      </c>
      <c r="H37" s="132"/>
      <c r="I37" s="132"/>
      <c r="J37" s="133"/>
      <c r="K37" s="132"/>
      <c r="L37" s="133"/>
      <c r="M37" s="133"/>
      <c r="N37" s="134"/>
      <c r="O37" s="133"/>
      <c r="P37" s="133"/>
      <c r="Q37" s="135"/>
      <c r="R37" s="136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29"/>
    </row>
    <row r="38" spans="1:42" ht="21.75" customHeight="1" x14ac:dyDescent="0.15">
      <c r="A38" s="1477"/>
      <c r="B38" s="1483"/>
      <c r="C38" s="157" t="s">
        <v>336</v>
      </c>
      <c r="D38" s="130"/>
      <c r="E38" s="131"/>
      <c r="F38" s="131"/>
      <c r="G38" s="140">
        <f>R38</f>
        <v>15520140</v>
      </c>
      <c r="H38" s="132">
        <f>H29</f>
        <v>258669</v>
      </c>
      <c r="I38" s="132" t="s">
        <v>341</v>
      </c>
      <c r="J38" s="133" t="s">
        <v>342</v>
      </c>
      <c r="K38" s="132">
        <v>60</v>
      </c>
      <c r="L38" s="133" t="s">
        <v>343</v>
      </c>
      <c r="M38" s="133" t="s">
        <v>342</v>
      </c>
      <c r="N38" s="134">
        <v>1</v>
      </c>
      <c r="O38" s="133" t="s">
        <v>327</v>
      </c>
      <c r="P38" s="133" t="s">
        <v>345</v>
      </c>
      <c r="Q38" s="135"/>
      <c r="R38" s="136">
        <f>ROUND(H38*K38*N38,-1)</f>
        <v>15520140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29"/>
    </row>
    <row r="39" spans="1:42" ht="15.75" customHeight="1" x14ac:dyDescent="0.15">
      <c r="A39" s="1477"/>
      <c r="B39" s="1482"/>
      <c r="C39" s="122" t="s">
        <v>338</v>
      </c>
      <c r="D39" s="130"/>
      <c r="E39" s="131"/>
      <c r="F39" s="131"/>
      <c r="G39" s="123"/>
      <c r="H39" s="132"/>
      <c r="I39" s="132"/>
      <c r="J39" s="133"/>
      <c r="K39" s="132"/>
      <c r="L39" s="133"/>
      <c r="M39" s="133"/>
      <c r="N39" s="134"/>
      <c r="O39" s="133"/>
      <c r="P39" s="133"/>
      <c r="Q39" s="135"/>
      <c r="R39" s="136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29"/>
    </row>
    <row r="40" spans="1:42" ht="15.75" hidden="1" customHeight="1" x14ac:dyDescent="0.15">
      <c r="A40" s="1477"/>
      <c r="B40" s="1481" t="s">
        <v>288</v>
      </c>
      <c r="C40" s="122" t="s">
        <v>258</v>
      </c>
      <c r="D40" s="130"/>
      <c r="E40" s="131"/>
      <c r="F40" s="131"/>
      <c r="G40" s="123">
        <f>SUM(G41:G42)</f>
        <v>0</v>
      </c>
      <c r="H40" s="132"/>
      <c r="I40" s="132"/>
      <c r="J40" s="133"/>
      <c r="K40" s="132"/>
      <c r="L40" s="133"/>
      <c r="M40" s="133"/>
      <c r="N40" s="134"/>
      <c r="O40" s="133"/>
      <c r="P40" s="133"/>
      <c r="Q40" s="135"/>
      <c r="R40" s="136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29"/>
    </row>
    <row r="41" spans="1:42" ht="15.75" hidden="1" customHeight="1" x14ac:dyDescent="0.15">
      <c r="A41" s="1477"/>
      <c r="B41" s="1483"/>
      <c r="C41" s="122" t="s">
        <v>288</v>
      </c>
      <c r="D41" s="130"/>
      <c r="E41" s="131"/>
      <c r="F41" s="131"/>
      <c r="G41" s="123">
        <f>R41</f>
        <v>0</v>
      </c>
      <c r="H41" s="132">
        <f>H32</f>
        <v>0</v>
      </c>
      <c r="I41" s="132" t="s">
        <v>341</v>
      </c>
      <c r="J41" s="133" t="s">
        <v>342</v>
      </c>
      <c r="K41" s="132">
        <v>51</v>
      </c>
      <c r="L41" s="133" t="s">
        <v>343</v>
      </c>
      <c r="M41" s="133" t="s">
        <v>342</v>
      </c>
      <c r="N41" s="134">
        <v>1</v>
      </c>
      <c r="O41" s="133" t="s">
        <v>346</v>
      </c>
      <c r="P41" s="133" t="s">
        <v>345</v>
      </c>
      <c r="Q41" s="135"/>
      <c r="R41" s="136">
        <f>ROUND(H41*K41*N41,-1)</f>
        <v>0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29"/>
    </row>
    <row r="42" spans="1:42" ht="15.75" hidden="1" customHeight="1" x14ac:dyDescent="0.15">
      <c r="A42" s="1478"/>
      <c r="B42" s="1482"/>
      <c r="C42" s="122" t="s">
        <v>347</v>
      </c>
      <c r="D42" s="130"/>
      <c r="E42" s="131"/>
      <c r="F42" s="131"/>
      <c r="G42" s="123">
        <f>R42</f>
        <v>0</v>
      </c>
      <c r="H42" s="132"/>
      <c r="I42" s="132" t="s">
        <v>341</v>
      </c>
      <c r="J42" s="133" t="s">
        <v>342</v>
      </c>
      <c r="K42" s="132"/>
      <c r="L42" s="133" t="s">
        <v>343</v>
      </c>
      <c r="M42" s="133" t="s">
        <v>342</v>
      </c>
      <c r="N42" s="134"/>
      <c r="O42" s="133" t="s">
        <v>348</v>
      </c>
      <c r="P42" s="133" t="s">
        <v>345</v>
      </c>
      <c r="Q42" s="135"/>
      <c r="R42" s="136">
        <f>H42*K42*N42</f>
        <v>0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29"/>
    </row>
    <row r="43" spans="1:42" s="128" customFormat="1" ht="15.75" customHeight="1" x14ac:dyDescent="0.15">
      <c r="A43" s="1476" t="s">
        <v>352</v>
      </c>
      <c r="B43" s="1479" t="s">
        <v>258</v>
      </c>
      <c r="C43" s="1480"/>
      <c r="D43" s="152"/>
      <c r="E43" s="153"/>
      <c r="F43" s="153"/>
      <c r="G43" s="154">
        <f>G44+G46+G49</f>
        <v>15520140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6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26" t="s">
        <v>332</v>
      </c>
      <c r="AF43" s="127"/>
      <c r="AG43" s="127"/>
      <c r="AH43" s="127"/>
      <c r="AI43" s="127"/>
      <c r="AJ43" s="127"/>
      <c r="AL43" s="127"/>
      <c r="AM43" s="127"/>
      <c r="AN43" s="127"/>
      <c r="AO43" s="127"/>
      <c r="AP43" s="127"/>
    </row>
    <row r="44" spans="1:42" s="128" customFormat="1" ht="15.75" customHeight="1" x14ac:dyDescent="0.15">
      <c r="A44" s="1484"/>
      <c r="B44" s="1481" t="s">
        <v>333</v>
      </c>
      <c r="C44" s="122" t="s">
        <v>258</v>
      </c>
      <c r="D44" s="121"/>
      <c r="E44" s="122"/>
      <c r="F44" s="122"/>
      <c r="G44" s="123">
        <f>G45</f>
        <v>0</v>
      </c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5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9"/>
      <c r="AF44" s="127"/>
      <c r="AG44" s="127"/>
      <c r="AH44" s="127"/>
      <c r="AI44" s="127"/>
      <c r="AJ44" s="127"/>
      <c r="AL44" s="127"/>
      <c r="AM44" s="127"/>
      <c r="AN44" s="127"/>
      <c r="AO44" s="127"/>
      <c r="AP44" s="127"/>
    </row>
    <row r="45" spans="1:42" ht="15.75" customHeight="1" x14ac:dyDescent="0.15">
      <c r="A45" s="1484"/>
      <c r="B45" s="1482"/>
      <c r="C45" s="122" t="s">
        <v>334</v>
      </c>
      <c r="D45" s="130"/>
      <c r="E45" s="131"/>
      <c r="F45" s="131"/>
      <c r="G45" s="123">
        <f>R45</f>
        <v>0</v>
      </c>
      <c r="H45" s="132"/>
      <c r="I45" s="132" t="s">
        <v>341</v>
      </c>
      <c r="J45" s="133" t="s">
        <v>342</v>
      </c>
      <c r="K45" s="132"/>
      <c r="L45" s="133" t="s">
        <v>343</v>
      </c>
      <c r="M45" s="133" t="s">
        <v>342</v>
      </c>
      <c r="N45" s="134"/>
      <c r="O45" s="133" t="s">
        <v>344</v>
      </c>
      <c r="P45" s="133" t="s">
        <v>345</v>
      </c>
      <c r="Q45" s="135"/>
      <c r="R45" s="136">
        <f>H45*K45*N45</f>
        <v>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29"/>
    </row>
    <row r="46" spans="1:42" ht="15.75" customHeight="1" x14ac:dyDescent="0.15">
      <c r="A46" s="1484"/>
      <c r="B46" s="1473" t="s">
        <v>336</v>
      </c>
      <c r="C46" s="122" t="s">
        <v>258</v>
      </c>
      <c r="D46" s="130"/>
      <c r="E46" s="131"/>
      <c r="F46" s="131"/>
      <c r="G46" s="123">
        <f>SUM(G47:G48)</f>
        <v>15520140</v>
      </c>
      <c r="H46" s="132"/>
      <c r="I46" s="132"/>
      <c r="J46" s="133"/>
      <c r="K46" s="132"/>
      <c r="L46" s="133"/>
      <c r="M46" s="133"/>
      <c r="N46" s="134"/>
      <c r="O46" s="133"/>
      <c r="P46" s="133"/>
      <c r="Q46" s="135"/>
      <c r="R46" s="136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29"/>
    </row>
    <row r="47" spans="1:42" ht="21.75" customHeight="1" x14ac:dyDescent="0.15">
      <c r="A47" s="1484"/>
      <c r="B47" s="1473"/>
      <c r="C47" s="157" t="s">
        <v>353</v>
      </c>
      <c r="D47" s="130"/>
      <c r="E47" s="131"/>
      <c r="F47" s="131"/>
      <c r="G47" s="140">
        <f>R47</f>
        <v>15520140</v>
      </c>
      <c r="H47" s="132">
        <f>H38</f>
        <v>258669</v>
      </c>
      <c r="I47" s="132" t="s">
        <v>341</v>
      </c>
      <c r="J47" s="133" t="s">
        <v>342</v>
      </c>
      <c r="K47" s="132">
        <v>60</v>
      </c>
      <c r="L47" s="133" t="s">
        <v>343</v>
      </c>
      <c r="M47" s="133" t="s">
        <v>342</v>
      </c>
      <c r="N47" s="134">
        <v>1</v>
      </c>
      <c r="O47" s="133" t="s">
        <v>327</v>
      </c>
      <c r="P47" s="133" t="s">
        <v>345</v>
      </c>
      <c r="Q47" s="135"/>
      <c r="R47" s="136">
        <f>ROUND(H47*K47*N47,-1)</f>
        <v>15520140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29"/>
    </row>
    <row r="48" spans="1:42" ht="15.75" customHeight="1" x14ac:dyDescent="0.15">
      <c r="A48" s="1484"/>
      <c r="B48" s="1473"/>
      <c r="C48" s="122" t="s">
        <v>338</v>
      </c>
      <c r="D48" s="130"/>
      <c r="E48" s="131"/>
      <c r="F48" s="131"/>
      <c r="G48" s="123"/>
      <c r="H48" s="132"/>
      <c r="I48" s="132"/>
      <c r="J48" s="133"/>
      <c r="K48" s="132"/>
      <c r="L48" s="133"/>
      <c r="M48" s="133"/>
      <c r="N48" s="134"/>
      <c r="O48" s="133"/>
      <c r="P48" s="133"/>
      <c r="Q48" s="135"/>
      <c r="R48" s="136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29"/>
    </row>
    <row r="49" spans="1:42" ht="15.75" hidden="1" customHeight="1" x14ac:dyDescent="0.15">
      <c r="A49" s="1484"/>
      <c r="B49" s="1473" t="s">
        <v>288</v>
      </c>
      <c r="C49" s="122" t="s">
        <v>258</v>
      </c>
      <c r="D49" s="130"/>
      <c r="E49" s="131"/>
      <c r="F49" s="131"/>
      <c r="G49" s="123">
        <f>SUM(G50:G51)</f>
        <v>0</v>
      </c>
      <c r="H49" s="132"/>
      <c r="I49" s="132"/>
      <c r="J49" s="133"/>
      <c r="K49" s="132"/>
      <c r="L49" s="133"/>
      <c r="M49" s="133"/>
      <c r="N49" s="134"/>
      <c r="O49" s="133"/>
      <c r="P49" s="133"/>
      <c r="Q49" s="135"/>
      <c r="R49" s="136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29"/>
    </row>
    <row r="50" spans="1:42" ht="15.75" hidden="1" customHeight="1" x14ac:dyDescent="0.15">
      <c r="A50" s="1484"/>
      <c r="B50" s="1473"/>
      <c r="C50" s="122" t="s">
        <v>288</v>
      </c>
      <c r="D50" s="130"/>
      <c r="E50" s="131"/>
      <c r="F50" s="131"/>
      <c r="G50" s="123">
        <f>R50</f>
        <v>0</v>
      </c>
      <c r="H50" s="132">
        <f>H41</f>
        <v>0</v>
      </c>
      <c r="I50" s="132" t="s">
        <v>341</v>
      </c>
      <c r="J50" s="133" t="s">
        <v>342</v>
      </c>
      <c r="K50" s="132">
        <v>51</v>
      </c>
      <c r="L50" s="133" t="s">
        <v>343</v>
      </c>
      <c r="M50" s="133" t="s">
        <v>342</v>
      </c>
      <c r="N50" s="134">
        <v>1</v>
      </c>
      <c r="O50" s="133" t="s">
        <v>346</v>
      </c>
      <c r="P50" s="133" t="s">
        <v>345</v>
      </c>
      <c r="Q50" s="135"/>
      <c r="R50" s="136">
        <f>ROUND(H50*K50*N50,-1)</f>
        <v>0</v>
      </c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29"/>
    </row>
    <row r="51" spans="1:42" ht="15.75" hidden="1" customHeight="1" x14ac:dyDescent="0.15">
      <c r="A51" s="1485"/>
      <c r="B51" s="1473"/>
      <c r="C51" s="122" t="s">
        <v>347</v>
      </c>
      <c r="D51" s="130"/>
      <c r="E51" s="131"/>
      <c r="F51" s="131"/>
      <c r="G51" s="123">
        <f>R51</f>
        <v>0</v>
      </c>
      <c r="H51" s="132"/>
      <c r="I51" s="132" t="s">
        <v>341</v>
      </c>
      <c r="J51" s="133" t="s">
        <v>342</v>
      </c>
      <c r="K51" s="132"/>
      <c r="L51" s="133" t="s">
        <v>343</v>
      </c>
      <c r="M51" s="133" t="s">
        <v>342</v>
      </c>
      <c r="N51" s="134"/>
      <c r="O51" s="133" t="s">
        <v>348</v>
      </c>
      <c r="P51" s="133" t="s">
        <v>345</v>
      </c>
      <c r="Q51" s="135"/>
      <c r="R51" s="136">
        <f>H51*K51*N51</f>
        <v>0</v>
      </c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29"/>
    </row>
    <row r="52" spans="1:42" s="128" customFormat="1" ht="15.75" customHeight="1" x14ac:dyDescent="0.15">
      <c r="A52" s="1476" t="s">
        <v>354</v>
      </c>
      <c r="B52" s="1479" t="s">
        <v>258</v>
      </c>
      <c r="C52" s="1480"/>
      <c r="D52" s="121"/>
      <c r="E52" s="122"/>
      <c r="F52" s="122"/>
      <c r="G52" s="123">
        <f>G53+G55+G58</f>
        <v>15520140</v>
      </c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5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6" t="s">
        <v>332</v>
      </c>
      <c r="AF52" s="127"/>
      <c r="AG52" s="127"/>
      <c r="AH52" s="127"/>
      <c r="AI52" s="127"/>
      <c r="AJ52" s="127"/>
      <c r="AL52" s="127"/>
      <c r="AM52" s="127"/>
      <c r="AN52" s="127"/>
      <c r="AO52" s="127"/>
      <c r="AP52" s="127"/>
    </row>
    <row r="53" spans="1:42" s="128" customFormat="1" ht="15.75" customHeight="1" x14ac:dyDescent="0.15">
      <c r="A53" s="1477"/>
      <c r="B53" s="1481" t="s">
        <v>333</v>
      </c>
      <c r="C53" s="122" t="s">
        <v>258</v>
      </c>
      <c r="D53" s="121"/>
      <c r="E53" s="122"/>
      <c r="F53" s="122"/>
      <c r="G53" s="123">
        <f>G54</f>
        <v>0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9"/>
      <c r="AF53" s="127"/>
      <c r="AG53" s="127"/>
      <c r="AH53" s="127"/>
      <c r="AI53" s="127"/>
      <c r="AJ53" s="127"/>
      <c r="AL53" s="127"/>
      <c r="AM53" s="127"/>
      <c r="AN53" s="127"/>
      <c r="AO53" s="127"/>
      <c r="AP53" s="127"/>
    </row>
    <row r="54" spans="1:42" ht="15.75" customHeight="1" x14ac:dyDescent="0.15">
      <c r="A54" s="1477"/>
      <c r="B54" s="1482"/>
      <c r="C54" s="122" t="s">
        <v>334</v>
      </c>
      <c r="D54" s="130"/>
      <c r="E54" s="131"/>
      <c r="F54" s="131"/>
      <c r="G54" s="123">
        <f>R54</f>
        <v>0</v>
      </c>
      <c r="H54" s="132"/>
      <c r="I54" s="132" t="s">
        <v>341</v>
      </c>
      <c r="J54" s="133" t="s">
        <v>342</v>
      </c>
      <c r="K54" s="132"/>
      <c r="L54" s="133" t="s">
        <v>343</v>
      </c>
      <c r="M54" s="133" t="s">
        <v>342</v>
      </c>
      <c r="N54" s="134"/>
      <c r="O54" s="133" t="s">
        <v>344</v>
      </c>
      <c r="P54" s="133" t="s">
        <v>345</v>
      </c>
      <c r="Q54" s="135"/>
      <c r="R54" s="136">
        <f>H54*K54*N54</f>
        <v>0</v>
      </c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29"/>
    </row>
    <row r="55" spans="1:42" ht="15.75" customHeight="1" x14ac:dyDescent="0.15">
      <c r="A55" s="1477"/>
      <c r="B55" s="1481" t="s">
        <v>336</v>
      </c>
      <c r="C55" s="122" t="s">
        <v>258</v>
      </c>
      <c r="D55" s="130"/>
      <c r="E55" s="131"/>
      <c r="F55" s="131"/>
      <c r="G55" s="123">
        <f>SUM(G56:G57)</f>
        <v>15520140</v>
      </c>
      <c r="H55" s="132"/>
      <c r="I55" s="132"/>
      <c r="J55" s="133"/>
      <c r="K55" s="132"/>
      <c r="L55" s="133"/>
      <c r="M55" s="133"/>
      <c r="N55" s="134"/>
      <c r="O55" s="133"/>
      <c r="P55" s="133"/>
      <c r="Q55" s="135"/>
      <c r="R55" s="136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29"/>
    </row>
    <row r="56" spans="1:42" ht="21.75" customHeight="1" x14ac:dyDescent="0.15">
      <c r="A56" s="1477"/>
      <c r="B56" s="1483"/>
      <c r="C56" s="157" t="s">
        <v>336</v>
      </c>
      <c r="D56" s="130"/>
      <c r="E56" s="131"/>
      <c r="F56" s="131"/>
      <c r="G56" s="140">
        <f>R56</f>
        <v>15520140</v>
      </c>
      <c r="H56" s="132">
        <f>H47</f>
        <v>258669</v>
      </c>
      <c r="I56" s="132" t="s">
        <v>341</v>
      </c>
      <c r="J56" s="133" t="s">
        <v>342</v>
      </c>
      <c r="K56" s="132">
        <v>60</v>
      </c>
      <c r="L56" s="133" t="s">
        <v>343</v>
      </c>
      <c r="M56" s="133" t="s">
        <v>342</v>
      </c>
      <c r="N56" s="134">
        <v>1</v>
      </c>
      <c r="O56" s="133" t="s">
        <v>327</v>
      </c>
      <c r="P56" s="133" t="s">
        <v>345</v>
      </c>
      <c r="Q56" s="135"/>
      <c r="R56" s="136">
        <f>ROUND(H56*K56*N56,-1)</f>
        <v>15520140</v>
      </c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29"/>
    </row>
    <row r="57" spans="1:42" ht="15.75" customHeight="1" thickBot="1" x14ac:dyDescent="0.2">
      <c r="A57" s="1477"/>
      <c r="B57" s="1482"/>
      <c r="C57" s="122" t="s">
        <v>338</v>
      </c>
      <c r="D57" s="130"/>
      <c r="E57" s="131"/>
      <c r="F57" s="131"/>
      <c r="G57" s="123"/>
      <c r="H57" s="132"/>
      <c r="I57" s="132"/>
      <c r="J57" s="133"/>
      <c r="K57" s="132"/>
      <c r="L57" s="133"/>
      <c r="M57" s="133"/>
      <c r="N57" s="134"/>
      <c r="O57" s="133"/>
      <c r="P57" s="133"/>
      <c r="Q57" s="135"/>
      <c r="R57" s="136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29"/>
    </row>
    <row r="58" spans="1:42" ht="15.75" hidden="1" customHeight="1" x14ac:dyDescent="0.15">
      <c r="A58" s="1477"/>
      <c r="B58" s="1481" t="s">
        <v>288</v>
      </c>
      <c r="C58" s="122" t="s">
        <v>258</v>
      </c>
      <c r="D58" s="130"/>
      <c r="E58" s="131"/>
      <c r="F58" s="131"/>
      <c r="G58" s="123">
        <f>SUM(G59:G60)</f>
        <v>0</v>
      </c>
      <c r="H58" s="132"/>
      <c r="I58" s="132"/>
      <c r="J58" s="133"/>
      <c r="K58" s="132"/>
      <c r="L58" s="133"/>
      <c r="M58" s="133"/>
      <c r="N58" s="134"/>
      <c r="O58" s="133"/>
      <c r="P58" s="133"/>
      <c r="Q58" s="135"/>
      <c r="R58" s="136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29"/>
    </row>
    <row r="59" spans="1:42" ht="15.75" hidden="1" customHeight="1" x14ac:dyDescent="0.15">
      <c r="A59" s="1477"/>
      <c r="B59" s="1483"/>
      <c r="C59" s="122" t="s">
        <v>288</v>
      </c>
      <c r="D59" s="130"/>
      <c r="E59" s="131"/>
      <c r="F59" s="131"/>
      <c r="G59" s="123">
        <f>R59</f>
        <v>0</v>
      </c>
      <c r="H59" s="132">
        <f>H50</f>
        <v>0</v>
      </c>
      <c r="I59" s="132" t="s">
        <v>341</v>
      </c>
      <c r="J59" s="133" t="s">
        <v>342</v>
      </c>
      <c r="K59" s="132">
        <v>51</v>
      </c>
      <c r="L59" s="133" t="s">
        <v>343</v>
      </c>
      <c r="M59" s="133" t="s">
        <v>342</v>
      </c>
      <c r="N59" s="134">
        <v>1</v>
      </c>
      <c r="O59" s="133" t="s">
        <v>346</v>
      </c>
      <c r="P59" s="133" t="s">
        <v>345</v>
      </c>
      <c r="Q59" s="135"/>
      <c r="R59" s="136">
        <f>ROUND(H59*K59*N59,-1)</f>
        <v>0</v>
      </c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29"/>
    </row>
    <row r="60" spans="1:42" ht="15.75" hidden="1" customHeight="1" x14ac:dyDescent="0.15">
      <c r="A60" s="1478"/>
      <c r="B60" s="1482"/>
      <c r="C60" s="122" t="s">
        <v>347</v>
      </c>
      <c r="D60" s="130"/>
      <c r="E60" s="131"/>
      <c r="F60" s="131"/>
      <c r="G60" s="123">
        <f>R60</f>
        <v>0</v>
      </c>
      <c r="H60" s="132"/>
      <c r="I60" s="132" t="s">
        <v>341</v>
      </c>
      <c r="J60" s="133" t="s">
        <v>342</v>
      </c>
      <c r="K60" s="132"/>
      <c r="L60" s="133" t="s">
        <v>343</v>
      </c>
      <c r="M60" s="133" t="s">
        <v>342</v>
      </c>
      <c r="N60" s="134"/>
      <c r="O60" s="133" t="s">
        <v>348</v>
      </c>
      <c r="P60" s="133" t="s">
        <v>345</v>
      </c>
      <c r="Q60" s="135"/>
      <c r="R60" s="136">
        <f>H60*K60*N60</f>
        <v>0</v>
      </c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9"/>
    </row>
    <row r="61" spans="1:42" s="128" customFormat="1" ht="15.75" customHeight="1" x14ac:dyDescent="0.15">
      <c r="A61" s="1478" t="s">
        <v>355</v>
      </c>
      <c r="B61" s="1482" t="s">
        <v>258</v>
      </c>
      <c r="C61" s="1482"/>
      <c r="D61" s="152"/>
      <c r="E61" s="153"/>
      <c r="F61" s="153"/>
      <c r="G61" s="154">
        <f>G62+G64+G67</f>
        <v>15520140</v>
      </c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6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26" t="s">
        <v>332</v>
      </c>
      <c r="AF61" s="127"/>
      <c r="AG61" s="127"/>
      <c r="AH61" s="127"/>
      <c r="AI61" s="127"/>
      <c r="AJ61" s="127"/>
      <c r="AL61" s="127"/>
      <c r="AM61" s="127"/>
      <c r="AN61" s="127"/>
      <c r="AO61" s="127"/>
      <c r="AP61" s="127"/>
    </row>
    <row r="62" spans="1:42" s="128" customFormat="1" ht="15.75" customHeight="1" x14ac:dyDescent="0.15">
      <c r="A62" s="1472"/>
      <c r="B62" s="1473" t="s">
        <v>333</v>
      </c>
      <c r="C62" s="122" t="s">
        <v>258</v>
      </c>
      <c r="D62" s="121"/>
      <c r="E62" s="122"/>
      <c r="F62" s="122"/>
      <c r="G62" s="123">
        <f>G63</f>
        <v>0</v>
      </c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5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9"/>
      <c r="AF62" s="127"/>
      <c r="AG62" s="127"/>
      <c r="AH62" s="127"/>
      <c r="AI62" s="127"/>
      <c r="AJ62" s="127"/>
      <c r="AL62" s="127"/>
      <c r="AM62" s="127"/>
      <c r="AN62" s="127"/>
      <c r="AO62" s="127"/>
      <c r="AP62" s="127"/>
    </row>
    <row r="63" spans="1:42" ht="15.75" customHeight="1" x14ac:dyDescent="0.15">
      <c r="A63" s="1472"/>
      <c r="B63" s="1473"/>
      <c r="C63" s="122" t="s">
        <v>334</v>
      </c>
      <c r="D63" s="130"/>
      <c r="E63" s="131"/>
      <c r="F63" s="131"/>
      <c r="G63" s="123">
        <f>R63</f>
        <v>0</v>
      </c>
      <c r="H63" s="132"/>
      <c r="I63" s="132" t="s">
        <v>341</v>
      </c>
      <c r="J63" s="133" t="s">
        <v>342</v>
      </c>
      <c r="K63" s="132"/>
      <c r="L63" s="133" t="s">
        <v>343</v>
      </c>
      <c r="M63" s="133" t="s">
        <v>342</v>
      </c>
      <c r="N63" s="134">
        <v>1</v>
      </c>
      <c r="O63" s="133" t="s">
        <v>348</v>
      </c>
      <c r="P63" s="133" t="s">
        <v>345</v>
      </c>
      <c r="Q63" s="135"/>
      <c r="R63" s="136">
        <f>H63*K63*N63</f>
        <v>0</v>
      </c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29"/>
    </row>
    <row r="64" spans="1:42" ht="15.75" customHeight="1" x14ac:dyDescent="0.15">
      <c r="A64" s="1472"/>
      <c r="B64" s="1473" t="s">
        <v>336</v>
      </c>
      <c r="C64" s="122" t="s">
        <v>258</v>
      </c>
      <c r="D64" s="130"/>
      <c r="E64" s="131"/>
      <c r="F64" s="131"/>
      <c r="G64" s="123">
        <f>SUM(G65:G66)</f>
        <v>15520140</v>
      </c>
      <c r="H64" s="132"/>
      <c r="I64" s="132"/>
      <c r="J64" s="133"/>
      <c r="K64" s="132"/>
      <c r="L64" s="133"/>
      <c r="M64" s="133"/>
      <c r="N64" s="134"/>
      <c r="O64" s="133"/>
      <c r="P64" s="133"/>
      <c r="Q64" s="135"/>
      <c r="R64" s="136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29"/>
    </row>
    <row r="65" spans="1:42" ht="21" customHeight="1" x14ac:dyDescent="0.15">
      <c r="A65" s="1472"/>
      <c r="B65" s="1473"/>
      <c r="C65" s="157" t="s">
        <v>336</v>
      </c>
      <c r="D65" s="130"/>
      <c r="E65" s="131"/>
      <c r="F65" s="131"/>
      <c r="G65" s="140">
        <f>R65</f>
        <v>15520140</v>
      </c>
      <c r="H65" s="132">
        <f>H56</f>
        <v>258669</v>
      </c>
      <c r="I65" s="132" t="s">
        <v>341</v>
      </c>
      <c r="J65" s="133" t="s">
        <v>342</v>
      </c>
      <c r="K65" s="132">
        <v>60</v>
      </c>
      <c r="L65" s="133" t="s">
        <v>343</v>
      </c>
      <c r="M65" s="133" t="s">
        <v>342</v>
      </c>
      <c r="N65" s="134">
        <v>1</v>
      </c>
      <c r="O65" s="133" t="s">
        <v>327</v>
      </c>
      <c r="P65" s="133" t="s">
        <v>345</v>
      </c>
      <c r="Q65" s="135"/>
      <c r="R65" s="136">
        <f>ROUND(H65*K65*N65,-1)</f>
        <v>15520140</v>
      </c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29"/>
    </row>
    <row r="66" spans="1:42" ht="15.75" customHeight="1" x14ac:dyDescent="0.15">
      <c r="A66" s="1472"/>
      <c r="B66" s="1473"/>
      <c r="C66" s="122" t="s">
        <v>338</v>
      </c>
      <c r="D66" s="130"/>
      <c r="E66" s="131"/>
      <c r="F66" s="131"/>
      <c r="G66" s="123"/>
      <c r="H66" s="132"/>
      <c r="I66" s="132"/>
      <c r="J66" s="133"/>
      <c r="K66" s="132"/>
      <c r="L66" s="133"/>
      <c r="M66" s="133"/>
      <c r="N66" s="134"/>
      <c r="O66" s="133"/>
      <c r="P66" s="133"/>
      <c r="Q66" s="135"/>
      <c r="R66" s="136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29"/>
    </row>
    <row r="67" spans="1:42" ht="15.75" hidden="1" customHeight="1" x14ac:dyDescent="0.15">
      <c r="A67" s="1472"/>
      <c r="B67" s="1473" t="s">
        <v>288</v>
      </c>
      <c r="C67" s="122" t="s">
        <v>258</v>
      </c>
      <c r="D67" s="130"/>
      <c r="E67" s="131">
        <v>0</v>
      </c>
      <c r="F67" s="131"/>
      <c r="G67" s="123">
        <f>SUM(G68:G69)</f>
        <v>0</v>
      </c>
      <c r="H67" s="132"/>
      <c r="I67" s="132"/>
      <c r="J67" s="133"/>
      <c r="K67" s="132"/>
      <c r="L67" s="133"/>
      <c r="M67" s="133"/>
      <c r="N67" s="134"/>
      <c r="O67" s="133"/>
      <c r="P67" s="133"/>
      <c r="Q67" s="135"/>
      <c r="R67" s="136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29"/>
    </row>
    <row r="68" spans="1:42" ht="15.75" hidden="1" customHeight="1" x14ac:dyDescent="0.15">
      <c r="A68" s="1472"/>
      <c r="B68" s="1473"/>
      <c r="C68" s="122" t="s">
        <v>288</v>
      </c>
      <c r="D68" s="130"/>
      <c r="E68" s="131"/>
      <c r="F68" s="131"/>
      <c r="G68" s="123">
        <f>R68</f>
        <v>0</v>
      </c>
      <c r="H68" s="132">
        <f>H59</f>
        <v>0</v>
      </c>
      <c r="I68" s="132" t="s">
        <v>341</v>
      </c>
      <c r="J68" s="133" t="s">
        <v>342</v>
      </c>
      <c r="K68" s="132">
        <v>51</v>
      </c>
      <c r="L68" s="133" t="s">
        <v>343</v>
      </c>
      <c r="M68" s="133" t="s">
        <v>342</v>
      </c>
      <c r="N68" s="134">
        <v>1</v>
      </c>
      <c r="O68" s="133" t="s">
        <v>346</v>
      </c>
      <c r="P68" s="133" t="s">
        <v>345</v>
      </c>
      <c r="Q68" s="135"/>
      <c r="R68" s="136">
        <f>ROUND(H68*K68*N68,-1)</f>
        <v>0</v>
      </c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29"/>
    </row>
    <row r="69" spans="1:42" ht="15.75" hidden="1" customHeight="1" x14ac:dyDescent="0.15">
      <c r="A69" s="1472"/>
      <c r="B69" s="1473"/>
      <c r="C69" s="122" t="s">
        <v>347</v>
      </c>
      <c r="D69" s="130"/>
      <c r="E69" s="131"/>
      <c r="F69" s="131"/>
      <c r="G69" s="123">
        <f>R69</f>
        <v>0</v>
      </c>
      <c r="H69" s="132"/>
      <c r="I69" s="132" t="s">
        <v>341</v>
      </c>
      <c r="J69" s="133" t="s">
        <v>342</v>
      </c>
      <c r="K69" s="132"/>
      <c r="L69" s="133" t="s">
        <v>343</v>
      </c>
      <c r="M69" s="133" t="s">
        <v>342</v>
      </c>
      <c r="N69" s="134"/>
      <c r="O69" s="133" t="s">
        <v>348</v>
      </c>
      <c r="P69" s="133" t="s">
        <v>345</v>
      </c>
      <c r="Q69" s="135"/>
      <c r="R69" s="136">
        <f>H69*K69*N69</f>
        <v>0</v>
      </c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29"/>
    </row>
    <row r="70" spans="1:42" s="128" customFormat="1" ht="15.75" customHeight="1" x14ac:dyDescent="0.15">
      <c r="A70" s="1471" t="s">
        <v>356</v>
      </c>
      <c r="B70" s="1473" t="s">
        <v>258</v>
      </c>
      <c r="C70" s="1473"/>
      <c r="D70" s="121"/>
      <c r="E70" s="122"/>
      <c r="F70" s="122"/>
      <c r="G70" s="123">
        <f>G71+G73+G76</f>
        <v>15520140</v>
      </c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6" t="s">
        <v>332</v>
      </c>
      <c r="AF70" s="127"/>
      <c r="AG70" s="127"/>
      <c r="AH70" s="127"/>
      <c r="AI70" s="127"/>
      <c r="AJ70" s="127"/>
      <c r="AL70" s="127"/>
      <c r="AM70" s="127"/>
      <c r="AN70" s="127"/>
      <c r="AO70" s="127"/>
      <c r="AP70" s="127"/>
    </row>
    <row r="71" spans="1:42" s="128" customFormat="1" ht="15.75" customHeight="1" x14ac:dyDescent="0.15">
      <c r="A71" s="1472"/>
      <c r="B71" s="1473" t="s">
        <v>333</v>
      </c>
      <c r="C71" s="122" t="s">
        <v>258</v>
      </c>
      <c r="D71" s="121"/>
      <c r="E71" s="122"/>
      <c r="F71" s="122"/>
      <c r="G71" s="123">
        <f>G72</f>
        <v>0</v>
      </c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9"/>
      <c r="AF71" s="127"/>
      <c r="AG71" s="127"/>
      <c r="AH71" s="127"/>
      <c r="AI71" s="127"/>
      <c r="AJ71" s="127"/>
      <c r="AL71" s="127"/>
      <c r="AM71" s="127"/>
      <c r="AN71" s="127"/>
      <c r="AO71" s="127"/>
      <c r="AP71" s="127"/>
    </row>
    <row r="72" spans="1:42" ht="15.75" customHeight="1" x14ac:dyDescent="0.15">
      <c r="A72" s="1472"/>
      <c r="B72" s="1473"/>
      <c r="C72" s="122" t="s">
        <v>334</v>
      </c>
      <c r="D72" s="130"/>
      <c r="E72" s="131"/>
      <c r="F72" s="131"/>
      <c r="G72" s="123">
        <f>R72</f>
        <v>0</v>
      </c>
      <c r="H72" s="132"/>
      <c r="I72" s="132" t="s">
        <v>341</v>
      </c>
      <c r="J72" s="133" t="s">
        <v>342</v>
      </c>
      <c r="K72" s="132"/>
      <c r="L72" s="133" t="s">
        <v>343</v>
      </c>
      <c r="M72" s="133" t="s">
        <v>342</v>
      </c>
      <c r="N72" s="134"/>
      <c r="O72" s="133" t="s">
        <v>344</v>
      </c>
      <c r="P72" s="133" t="s">
        <v>345</v>
      </c>
      <c r="Q72" s="135"/>
      <c r="R72" s="136">
        <f>H72*K72*N72</f>
        <v>0</v>
      </c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29"/>
    </row>
    <row r="73" spans="1:42" ht="15.75" hidden="1" customHeight="1" x14ac:dyDescent="0.15">
      <c r="A73" s="1472"/>
      <c r="B73" s="1473" t="s">
        <v>336</v>
      </c>
      <c r="C73" s="122" t="s">
        <v>258</v>
      </c>
      <c r="D73" s="130"/>
      <c r="E73" s="131"/>
      <c r="F73" s="131"/>
      <c r="G73" s="123">
        <f>SUM(G74:G75)</f>
        <v>15520140</v>
      </c>
      <c r="H73" s="132"/>
      <c r="I73" s="132"/>
      <c r="J73" s="133"/>
      <c r="K73" s="132"/>
      <c r="L73" s="133"/>
      <c r="M73" s="133"/>
      <c r="N73" s="134"/>
      <c r="O73" s="133"/>
      <c r="P73" s="133"/>
      <c r="Q73" s="135"/>
      <c r="R73" s="136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29"/>
    </row>
    <row r="74" spans="1:42" ht="21" customHeight="1" x14ac:dyDescent="0.15">
      <c r="A74" s="1472"/>
      <c r="B74" s="1473"/>
      <c r="C74" s="157" t="s">
        <v>336</v>
      </c>
      <c r="D74" s="130"/>
      <c r="E74" s="131"/>
      <c r="F74" s="131"/>
      <c r="G74" s="140">
        <f>R74</f>
        <v>15520140</v>
      </c>
      <c r="H74" s="132">
        <f>H65</f>
        <v>258669</v>
      </c>
      <c r="I74" s="132" t="s">
        <v>341</v>
      </c>
      <c r="J74" s="133" t="s">
        <v>342</v>
      </c>
      <c r="K74" s="132">
        <v>60</v>
      </c>
      <c r="L74" s="133" t="s">
        <v>343</v>
      </c>
      <c r="M74" s="133" t="s">
        <v>342</v>
      </c>
      <c r="N74" s="134">
        <v>1</v>
      </c>
      <c r="O74" s="133" t="s">
        <v>327</v>
      </c>
      <c r="P74" s="133" t="s">
        <v>345</v>
      </c>
      <c r="Q74" s="135"/>
      <c r="R74" s="136">
        <f>ROUND(H74*K74*N74,-1)</f>
        <v>15520140</v>
      </c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29"/>
    </row>
    <row r="75" spans="1:42" ht="15.75" customHeight="1" x14ac:dyDescent="0.15">
      <c r="A75" s="1472"/>
      <c r="B75" s="1473"/>
      <c r="C75" s="122" t="s">
        <v>338</v>
      </c>
      <c r="D75" s="130"/>
      <c r="E75" s="131"/>
      <c r="F75" s="131"/>
      <c r="G75" s="123"/>
      <c r="H75" s="132"/>
      <c r="I75" s="132" t="s">
        <v>341</v>
      </c>
      <c r="J75" s="133" t="s">
        <v>342</v>
      </c>
      <c r="K75" s="132"/>
      <c r="L75" s="133" t="s">
        <v>343</v>
      </c>
      <c r="M75" s="133" t="s">
        <v>342</v>
      </c>
      <c r="N75" s="134">
        <v>1</v>
      </c>
      <c r="O75" s="133" t="s">
        <v>348</v>
      </c>
      <c r="P75" s="133" t="s">
        <v>345</v>
      </c>
      <c r="Q75" s="135"/>
      <c r="R75" s="136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29"/>
    </row>
    <row r="76" spans="1:42" ht="15.75" customHeight="1" x14ac:dyDescent="0.15">
      <c r="A76" s="1472"/>
      <c r="B76" s="1473" t="s">
        <v>288</v>
      </c>
      <c r="C76" s="122" t="s">
        <v>258</v>
      </c>
      <c r="D76" s="130"/>
      <c r="E76" s="131"/>
      <c r="F76" s="131"/>
      <c r="G76" s="123">
        <f>SUM(G77:G78)</f>
        <v>0</v>
      </c>
      <c r="H76" s="132"/>
      <c r="I76" s="132"/>
      <c r="J76" s="133"/>
      <c r="K76" s="132"/>
      <c r="L76" s="133"/>
      <c r="M76" s="133"/>
      <c r="N76" s="134"/>
      <c r="O76" s="133"/>
      <c r="P76" s="133"/>
      <c r="Q76" s="135"/>
      <c r="R76" s="136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29"/>
    </row>
    <row r="77" spans="1:42" ht="15.75" customHeight="1" x14ac:dyDescent="0.15">
      <c r="A77" s="1472"/>
      <c r="B77" s="1473"/>
      <c r="C77" s="122" t="s">
        <v>288</v>
      </c>
      <c r="D77" s="130"/>
      <c r="E77" s="131"/>
      <c r="F77" s="131"/>
      <c r="G77" s="123">
        <v>0</v>
      </c>
      <c r="H77" s="132"/>
      <c r="I77" s="132" t="s">
        <v>341</v>
      </c>
      <c r="J77" s="133" t="s">
        <v>342</v>
      </c>
      <c r="K77" s="132">
        <v>60</v>
      </c>
      <c r="L77" s="133" t="s">
        <v>343</v>
      </c>
      <c r="M77" s="133" t="s">
        <v>342</v>
      </c>
      <c r="N77" s="134">
        <v>1</v>
      </c>
      <c r="O77" s="133" t="s">
        <v>346</v>
      </c>
      <c r="P77" s="133" t="s">
        <v>345</v>
      </c>
      <c r="Q77" s="135"/>
      <c r="R77" s="136">
        <f>ROUND(H77*K77*N77,-1)</f>
        <v>0</v>
      </c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29"/>
    </row>
    <row r="78" spans="1:42" ht="15.75" customHeight="1" x14ac:dyDescent="0.15">
      <c r="A78" s="1472"/>
      <c r="B78" s="1473"/>
      <c r="C78" s="122" t="s">
        <v>347</v>
      </c>
      <c r="D78" s="130"/>
      <c r="E78" s="131"/>
      <c r="F78" s="131"/>
      <c r="G78" s="123">
        <f>R78</f>
        <v>0</v>
      </c>
      <c r="H78" s="132"/>
      <c r="I78" s="132" t="s">
        <v>341</v>
      </c>
      <c r="J78" s="133" t="s">
        <v>342</v>
      </c>
      <c r="K78" s="132"/>
      <c r="L78" s="133" t="s">
        <v>343</v>
      </c>
      <c r="M78" s="133" t="s">
        <v>342</v>
      </c>
      <c r="N78" s="134">
        <v>1</v>
      </c>
      <c r="O78" s="133" t="s">
        <v>348</v>
      </c>
      <c r="P78" s="133" t="s">
        <v>345</v>
      </c>
      <c r="Q78" s="135"/>
      <c r="R78" s="136">
        <f>H78*K78*N78</f>
        <v>0</v>
      </c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29"/>
    </row>
    <row r="79" spans="1:42" s="128" customFormat="1" ht="15.75" customHeight="1" x14ac:dyDescent="0.15">
      <c r="A79" s="1471" t="s">
        <v>357</v>
      </c>
      <c r="B79" s="1473" t="s">
        <v>258</v>
      </c>
      <c r="C79" s="1473"/>
      <c r="D79" s="121"/>
      <c r="E79" s="122"/>
      <c r="F79" s="122"/>
      <c r="G79" s="123">
        <f>G80+G82+G85</f>
        <v>15520140</v>
      </c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5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6" t="s">
        <v>332</v>
      </c>
      <c r="AF79" s="127"/>
      <c r="AG79" s="127"/>
      <c r="AH79" s="127"/>
      <c r="AI79" s="127"/>
      <c r="AJ79" s="127"/>
      <c r="AL79" s="127"/>
      <c r="AM79" s="127"/>
      <c r="AN79" s="127"/>
      <c r="AO79" s="127"/>
      <c r="AP79" s="127"/>
    </row>
    <row r="80" spans="1:42" s="128" customFormat="1" ht="15.75" customHeight="1" x14ac:dyDescent="0.15">
      <c r="A80" s="1472"/>
      <c r="B80" s="1473" t="s">
        <v>333</v>
      </c>
      <c r="C80" s="122" t="s">
        <v>258</v>
      </c>
      <c r="D80" s="121"/>
      <c r="E80" s="122"/>
      <c r="F80" s="122"/>
      <c r="G80" s="123">
        <f>G81</f>
        <v>0</v>
      </c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5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9"/>
      <c r="AF80" s="127"/>
      <c r="AG80" s="127"/>
      <c r="AH80" s="127"/>
      <c r="AI80" s="127"/>
      <c r="AJ80" s="127"/>
      <c r="AL80" s="127"/>
      <c r="AM80" s="127"/>
      <c r="AN80" s="127"/>
      <c r="AO80" s="127"/>
      <c r="AP80" s="127"/>
    </row>
    <row r="81" spans="1:42" ht="15.75" customHeight="1" x14ac:dyDescent="0.15">
      <c r="A81" s="1472"/>
      <c r="B81" s="1473"/>
      <c r="C81" s="122" t="s">
        <v>334</v>
      </c>
      <c r="D81" s="130"/>
      <c r="E81" s="131"/>
      <c r="F81" s="131"/>
      <c r="G81" s="123">
        <f>R81</f>
        <v>0</v>
      </c>
      <c r="H81" s="132"/>
      <c r="I81" s="132" t="s">
        <v>341</v>
      </c>
      <c r="J81" s="133" t="s">
        <v>342</v>
      </c>
      <c r="K81" s="132"/>
      <c r="L81" s="133" t="s">
        <v>343</v>
      </c>
      <c r="M81" s="133" t="s">
        <v>342</v>
      </c>
      <c r="N81" s="134"/>
      <c r="O81" s="133" t="s">
        <v>344</v>
      </c>
      <c r="P81" s="133" t="s">
        <v>345</v>
      </c>
      <c r="Q81" s="135"/>
      <c r="R81" s="136">
        <f>H81*K81*N81</f>
        <v>0</v>
      </c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29"/>
    </row>
    <row r="82" spans="1:42" ht="15.75" customHeight="1" x14ac:dyDescent="0.15">
      <c r="A82" s="1472"/>
      <c r="B82" s="1473" t="s">
        <v>336</v>
      </c>
      <c r="C82" s="122" t="s">
        <v>258</v>
      </c>
      <c r="D82" s="130"/>
      <c r="E82" s="131"/>
      <c r="F82" s="131"/>
      <c r="G82" s="123">
        <f>SUM(G83:G84)</f>
        <v>15520140</v>
      </c>
      <c r="H82" s="132"/>
      <c r="I82" s="132"/>
      <c r="J82" s="133"/>
      <c r="K82" s="132"/>
      <c r="L82" s="133"/>
      <c r="M82" s="133"/>
      <c r="N82" s="134"/>
      <c r="O82" s="133"/>
      <c r="P82" s="133"/>
      <c r="Q82" s="135"/>
      <c r="R82" s="136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29"/>
    </row>
    <row r="83" spans="1:42" ht="21" customHeight="1" x14ac:dyDescent="0.15">
      <c r="A83" s="1472"/>
      <c r="B83" s="1473"/>
      <c r="C83" s="157" t="s">
        <v>336</v>
      </c>
      <c r="D83" s="130"/>
      <c r="E83" s="131"/>
      <c r="F83" s="131"/>
      <c r="G83" s="140">
        <f>R83</f>
        <v>15520140</v>
      </c>
      <c r="H83" s="132">
        <v>258669</v>
      </c>
      <c r="I83" s="132" t="s">
        <v>341</v>
      </c>
      <c r="J83" s="133" t="s">
        <v>342</v>
      </c>
      <c r="K83" s="132">
        <v>60</v>
      </c>
      <c r="L83" s="133" t="s">
        <v>343</v>
      </c>
      <c r="M83" s="133" t="s">
        <v>342</v>
      </c>
      <c r="N83" s="134">
        <v>1</v>
      </c>
      <c r="O83" s="133" t="s">
        <v>327</v>
      </c>
      <c r="P83" s="133" t="s">
        <v>345</v>
      </c>
      <c r="Q83" s="135"/>
      <c r="R83" s="136">
        <f>ROUND(H83*K83*N83,-1)</f>
        <v>15520140</v>
      </c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29"/>
    </row>
    <row r="84" spans="1:42" ht="15.75" customHeight="1" x14ac:dyDescent="0.15">
      <c r="A84" s="1472"/>
      <c r="B84" s="1473"/>
      <c r="C84" s="122" t="s">
        <v>338</v>
      </c>
      <c r="D84" s="130"/>
      <c r="E84" s="131"/>
      <c r="F84" s="131"/>
      <c r="G84" s="123"/>
      <c r="H84" s="132"/>
      <c r="I84" s="132" t="s">
        <v>341</v>
      </c>
      <c r="J84" s="133" t="s">
        <v>342</v>
      </c>
      <c r="K84" s="132"/>
      <c r="L84" s="133" t="s">
        <v>343</v>
      </c>
      <c r="M84" s="133" t="s">
        <v>342</v>
      </c>
      <c r="N84" s="134"/>
      <c r="O84" s="133" t="s">
        <v>348</v>
      </c>
      <c r="P84" s="133" t="s">
        <v>345</v>
      </c>
      <c r="Q84" s="135"/>
      <c r="R84" s="136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29"/>
    </row>
    <row r="85" spans="1:42" ht="15.75" hidden="1" customHeight="1" x14ac:dyDescent="0.15">
      <c r="A85" s="1472"/>
      <c r="B85" s="1473" t="s">
        <v>288</v>
      </c>
      <c r="C85" s="122" t="s">
        <v>258</v>
      </c>
      <c r="D85" s="130"/>
      <c r="E85" s="131"/>
      <c r="F85" s="131"/>
      <c r="G85" s="123">
        <f>SUM(G86:G87)</f>
        <v>0</v>
      </c>
      <c r="H85" s="132"/>
      <c r="I85" s="132"/>
      <c r="J85" s="133"/>
      <c r="K85" s="132"/>
      <c r="L85" s="133"/>
      <c r="M85" s="133"/>
      <c r="N85" s="134"/>
      <c r="O85" s="133"/>
      <c r="P85" s="133"/>
      <c r="Q85" s="135"/>
      <c r="R85" s="136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29"/>
    </row>
    <row r="86" spans="1:42" ht="15.75" hidden="1" customHeight="1" x14ac:dyDescent="0.15">
      <c r="A86" s="1472"/>
      <c r="B86" s="1473"/>
      <c r="C86" s="122" t="s">
        <v>288</v>
      </c>
      <c r="D86" s="130"/>
      <c r="E86" s="131"/>
      <c r="F86" s="131"/>
      <c r="G86" s="123">
        <f>R86</f>
        <v>0</v>
      </c>
      <c r="H86" s="132">
        <v>0</v>
      </c>
      <c r="I86" s="132" t="s">
        <v>341</v>
      </c>
      <c r="J86" s="133" t="s">
        <v>342</v>
      </c>
      <c r="K86" s="132">
        <v>51</v>
      </c>
      <c r="L86" s="133" t="s">
        <v>343</v>
      </c>
      <c r="M86" s="133" t="s">
        <v>342</v>
      </c>
      <c r="N86" s="134">
        <v>1</v>
      </c>
      <c r="O86" s="133" t="s">
        <v>346</v>
      </c>
      <c r="P86" s="133" t="s">
        <v>345</v>
      </c>
      <c r="Q86" s="135"/>
      <c r="R86" s="136">
        <f>ROUND(H86*K86*N86,-1)</f>
        <v>0</v>
      </c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29"/>
    </row>
    <row r="87" spans="1:42" ht="15.75" hidden="1" customHeight="1" x14ac:dyDescent="0.15">
      <c r="A87" s="1472"/>
      <c r="B87" s="1473"/>
      <c r="C87" s="122" t="s">
        <v>347</v>
      </c>
      <c r="D87" s="130"/>
      <c r="E87" s="131"/>
      <c r="F87" s="131"/>
      <c r="G87" s="123">
        <f>R87</f>
        <v>0</v>
      </c>
      <c r="H87" s="132"/>
      <c r="I87" s="132" t="s">
        <v>341</v>
      </c>
      <c r="J87" s="133" t="s">
        <v>342</v>
      </c>
      <c r="K87" s="132"/>
      <c r="L87" s="133" t="s">
        <v>343</v>
      </c>
      <c r="M87" s="133" t="s">
        <v>342</v>
      </c>
      <c r="N87" s="134"/>
      <c r="O87" s="133" t="s">
        <v>348</v>
      </c>
      <c r="P87" s="133" t="s">
        <v>345</v>
      </c>
      <c r="Q87" s="135"/>
      <c r="R87" s="136">
        <f>H87*K87*N87</f>
        <v>0</v>
      </c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29"/>
    </row>
    <row r="88" spans="1:42" s="128" customFormat="1" ht="15.75" customHeight="1" x14ac:dyDescent="0.15">
      <c r="A88" s="1471" t="s">
        <v>358</v>
      </c>
      <c r="B88" s="1473" t="s">
        <v>258</v>
      </c>
      <c r="C88" s="1473"/>
      <c r="D88" s="121"/>
      <c r="E88" s="122"/>
      <c r="F88" s="122"/>
      <c r="G88" s="123">
        <f>G89+G91+G94</f>
        <v>18520140</v>
      </c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5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6" t="s">
        <v>332</v>
      </c>
      <c r="AF88" s="127"/>
      <c r="AG88" s="127"/>
      <c r="AH88" s="127"/>
      <c r="AI88" s="127"/>
      <c r="AJ88" s="127"/>
      <c r="AL88" s="127"/>
      <c r="AM88" s="127"/>
      <c r="AN88" s="127"/>
      <c r="AO88" s="127"/>
      <c r="AP88" s="127"/>
    </row>
    <row r="89" spans="1:42" s="128" customFormat="1" ht="15.75" customHeight="1" x14ac:dyDescent="0.15">
      <c r="A89" s="1472"/>
      <c r="B89" s="1473" t="s">
        <v>333</v>
      </c>
      <c r="C89" s="122" t="s">
        <v>258</v>
      </c>
      <c r="D89" s="121"/>
      <c r="E89" s="122"/>
      <c r="F89" s="122"/>
      <c r="G89" s="123">
        <f>G90</f>
        <v>3000000</v>
      </c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5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9"/>
      <c r="AF89" s="127"/>
      <c r="AG89" s="127"/>
      <c r="AH89" s="127"/>
      <c r="AI89" s="127"/>
      <c r="AJ89" s="127"/>
      <c r="AL89" s="127"/>
      <c r="AM89" s="127"/>
      <c r="AN89" s="127"/>
      <c r="AO89" s="127"/>
      <c r="AP89" s="127"/>
    </row>
    <row r="90" spans="1:42" ht="15.75" customHeight="1" x14ac:dyDescent="0.15">
      <c r="A90" s="1472"/>
      <c r="B90" s="1473"/>
      <c r="C90" s="122" t="s">
        <v>334</v>
      </c>
      <c r="D90" s="130"/>
      <c r="E90" s="131"/>
      <c r="F90" s="131"/>
      <c r="G90" s="123">
        <f>R90</f>
        <v>3000000</v>
      </c>
      <c r="H90" s="132">
        <f>H8</f>
        <v>50000</v>
      </c>
      <c r="I90" s="132" t="s">
        <v>341</v>
      </c>
      <c r="J90" s="133" t="s">
        <v>342</v>
      </c>
      <c r="K90" s="132">
        <v>60</v>
      </c>
      <c r="L90" s="133" t="s">
        <v>343</v>
      </c>
      <c r="M90" s="133" t="s">
        <v>342</v>
      </c>
      <c r="N90" s="134">
        <v>1</v>
      </c>
      <c r="O90" s="133" t="s">
        <v>344</v>
      </c>
      <c r="P90" s="133" t="s">
        <v>345</v>
      </c>
      <c r="Q90" s="135"/>
      <c r="R90" s="136">
        <f>H90*K90*N90</f>
        <v>3000000</v>
      </c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29" t="s">
        <v>359</v>
      </c>
    </row>
    <row r="91" spans="1:42" ht="15.75" customHeight="1" x14ac:dyDescent="0.15">
      <c r="A91" s="1472"/>
      <c r="B91" s="1473" t="s">
        <v>336</v>
      </c>
      <c r="C91" s="122" t="s">
        <v>258</v>
      </c>
      <c r="D91" s="130"/>
      <c r="E91" s="131"/>
      <c r="F91" s="131"/>
      <c r="G91" s="123">
        <f>SUM(G92:G93)</f>
        <v>15520140</v>
      </c>
      <c r="H91" s="132"/>
      <c r="I91" s="132"/>
      <c r="J91" s="133"/>
      <c r="K91" s="132"/>
      <c r="L91" s="133"/>
      <c r="M91" s="133"/>
      <c r="N91" s="134"/>
      <c r="O91" s="133"/>
      <c r="P91" s="133"/>
      <c r="Q91" s="135"/>
      <c r="R91" s="136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29"/>
    </row>
    <row r="92" spans="1:42" ht="21" customHeight="1" x14ac:dyDescent="0.15">
      <c r="A92" s="1472"/>
      <c r="B92" s="1473"/>
      <c r="C92" s="157" t="s">
        <v>336</v>
      </c>
      <c r="D92" s="130"/>
      <c r="E92" s="131"/>
      <c r="F92" s="131"/>
      <c r="G92" s="123">
        <f>R92</f>
        <v>15520140</v>
      </c>
      <c r="H92" s="132">
        <f>H83</f>
        <v>258669</v>
      </c>
      <c r="I92" s="132" t="s">
        <v>341</v>
      </c>
      <c r="J92" s="133" t="s">
        <v>342</v>
      </c>
      <c r="K92" s="132">
        <v>60</v>
      </c>
      <c r="L92" s="133" t="s">
        <v>343</v>
      </c>
      <c r="M92" s="133" t="s">
        <v>342</v>
      </c>
      <c r="N92" s="134">
        <v>1</v>
      </c>
      <c r="O92" s="133" t="s">
        <v>327</v>
      </c>
      <c r="P92" s="133" t="s">
        <v>345</v>
      </c>
      <c r="Q92" s="135"/>
      <c r="R92" s="136">
        <f>ROUND(H92*K92*N92,-1)</f>
        <v>15520140</v>
      </c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29"/>
    </row>
    <row r="93" spans="1:42" ht="15.75" customHeight="1" x14ac:dyDescent="0.15">
      <c r="A93" s="1472"/>
      <c r="B93" s="1473"/>
      <c r="C93" s="122" t="s">
        <v>338</v>
      </c>
      <c r="D93" s="130"/>
      <c r="E93" s="131"/>
      <c r="F93" s="131"/>
      <c r="G93" s="123">
        <f>R93</f>
        <v>0</v>
      </c>
      <c r="H93" s="132"/>
      <c r="I93" s="132" t="s">
        <v>341</v>
      </c>
      <c r="J93" s="133" t="s">
        <v>342</v>
      </c>
      <c r="K93" s="132"/>
      <c r="L93" s="133" t="s">
        <v>343</v>
      </c>
      <c r="M93" s="133" t="s">
        <v>342</v>
      </c>
      <c r="N93" s="134">
        <v>1</v>
      </c>
      <c r="O93" s="133" t="s">
        <v>348</v>
      </c>
      <c r="P93" s="133" t="s">
        <v>345</v>
      </c>
      <c r="Q93" s="135"/>
      <c r="R93" s="136">
        <f>ROUND(H93*K93*N93,-1)</f>
        <v>0</v>
      </c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29"/>
    </row>
    <row r="94" spans="1:42" ht="15.75" hidden="1" customHeight="1" x14ac:dyDescent="0.15">
      <c r="A94" s="1472"/>
      <c r="B94" s="1473" t="s">
        <v>288</v>
      </c>
      <c r="C94" s="122" t="s">
        <v>258</v>
      </c>
      <c r="D94" s="130"/>
      <c r="E94" s="131"/>
      <c r="F94" s="131"/>
      <c r="G94" s="123">
        <f>SUM(G95:G96)</f>
        <v>0</v>
      </c>
      <c r="H94" s="132"/>
      <c r="I94" s="132"/>
      <c r="J94" s="133"/>
      <c r="K94" s="132"/>
      <c r="L94" s="133"/>
      <c r="M94" s="133"/>
      <c r="N94" s="134"/>
      <c r="O94" s="133"/>
      <c r="P94" s="133"/>
      <c r="Q94" s="135"/>
      <c r="R94" s="136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29"/>
    </row>
    <row r="95" spans="1:42" ht="15.75" hidden="1" customHeight="1" x14ac:dyDescent="0.15">
      <c r="A95" s="1472"/>
      <c r="B95" s="1473"/>
      <c r="C95" s="122" t="s">
        <v>288</v>
      </c>
      <c r="D95" s="130"/>
      <c r="E95" s="131"/>
      <c r="F95" s="131"/>
      <c r="G95" s="123">
        <f>R95</f>
        <v>0</v>
      </c>
      <c r="H95" s="132">
        <f>H86</f>
        <v>0</v>
      </c>
      <c r="I95" s="132" t="s">
        <v>341</v>
      </c>
      <c r="J95" s="133" t="s">
        <v>342</v>
      </c>
      <c r="K95" s="132">
        <v>51</v>
      </c>
      <c r="L95" s="133" t="s">
        <v>343</v>
      </c>
      <c r="M95" s="133" t="s">
        <v>342</v>
      </c>
      <c r="N95" s="134">
        <v>1</v>
      </c>
      <c r="O95" s="133" t="s">
        <v>346</v>
      </c>
      <c r="P95" s="133" t="s">
        <v>345</v>
      </c>
      <c r="Q95" s="135"/>
      <c r="R95" s="136">
        <f>ROUND(H95*K95*N95,-1)</f>
        <v>0</v>
      </c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29"/>
    </row>
    <row r="96" spans="1:42" ht="15.75" hidden="1" customHeight="1" x14ac:dyDescent="0.15">
      <c r="A96" s="1472"/>
      <c r="B96" s="1473"/>
      <c r="C96" s="122" t="s">
        <v>347</v>
      </c>
      <c r="D96" s="130"/>
      <c r="E96" s="131"/>
      <c r="F96" s="131"/>
      <c r="G96" s="123">
        <f>R96</f>
        <v>0</v>
      </c>
      <c r="H96" s="132"/>
      <c r="I96" s="132" t="s">
        <v>341</v>
      </c>
      <c r="J96" s="133" t="s">
        <v>342</v>
      </c>
      <c r="K96" s="132"/>
      <c r="L96" s="133" t="s">
        <v>343</v>
      </c>
      <c r="M96" s="133" t="s">
        <v>342</v>
      </c>
      <c r="N96" s="134">
        <v>1</v>
      </c>
      <c r="O96" s="133" t="s">
        <v>348</v>
      </c>
      <c r="P96" s="133" t="s">
        <v>345</v>
      </c>
      <c r="Q96" s="135"/>
      <c r="R96" s="136">
        <f>H96*K96*N96</f>
        <v>0</v>
      </c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29"/>
    </row>
    <row r="97" spans="1:42" s="128" customFormat="1" ht="15.75" customHeight="1" x14ac:dyDescent="0.15">
      <c r="A97" s="1471" t="s">
        <v>360</v>
      </c>
      <c r="B97" s="1473" t="s">
        <v>258</v>
      </c>
      <c r="C97" s="1473"/>
      <c r="D97" s="121"/>
      <c r="E97" s="122"/>
      <c r="F97" s="122"/>
      <c r="G97" s="123">
        <f>G98+G100+G102+G104</f>
        <v>17920140</v>
      </c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6" t="s">
        <v>332</v>
      </c>
      <c r="AF97" s="127"/>
      <c r="AG97" s="127"/>
      <c r="AH97" s="127"/>
      <c r="AI97" s="127"/>
      <c r="AJ97" s="127"/>
      <c r="AL97" s="127"/>
      <c r="AM97" s="127"/>
      <c r="AN97" s="127"/>
      <c r="AO97" s="127"/>
      <c r="AP97" s="127"/>
    </row>
    <row r="98" spans="1:42" s="128" customFormat="1" ht="15.75" customHeight="1" x14ac:dyDescent="0.15">
      <c r="A98" s="1472"/>
      <c r="B98" s="1473" t="s">
        <v>333</v>
      </c>
      <c r="C98" s="122" t="s">
        <v>258</v>
      </c>
      <c r="D98" s="121"/>
      <c r="E98" s="122"/>
      <c r="F98" s="122"/>
      <c r="G98" s="123">
        <f>G99</f>
        <v>0</v>
      </c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9"/>
      <c r="AF98" s="127"/>
      <c r="AG98" s="127"/>
      <c r="AH98" s="127"/>
      <c r="AI98" s="127"/>
      <c r="AJ98" s="127"/>
      <c r="AL98" s="127"/>
      <c r="AM98" s="127"/>
      <c r="AN98" s="127"/>
      <c r="AO98" s="127"/>
      <c r="AP98" s="127"/>
    </row>
    <row r="99" spans="1:42" ht="15.75" customHeight="1" x14ac:dyDescent="0.15">
      <c r="A99" s="1472"/>
      <c r="B99" s="1473"/>
      <c r="C99" s="122" t="s">
        <v>334</v>
      </c>
      <c r="D99" s="130"/>
      <c r="E99" s="131"/>
      <c r="F99" s="131"/>
      <c r="G99" s="123">
        <f>R99</f>
        <v>0</v>
      </c>
      <c r="H99" s="132"/>
      <c r="I99" s="132" t="s">
        <v>341</v>
      </c>
      <c r="J99" s="133" t="s">
        <v>342</v>
      </c>
      <c r="K99" s="132"/>
      <c r="L99" s="133" t="s">
        <v>343</v>
      </c>
      <c r="M99" s="133" t="s">
        <v>342</v>
      </c>
      <c r="N99" s="134"/>
      <c r="O99" s="133" t="s">
        <v>344</v>
      </c>
      <c r="P99" s="133" t="s">
        <v>345</v>
      </c>
      <c r="Q99" s="135"/>
      <c r="R99" s="136">
        <f>H99*K99*N99</f>
        <v>0</v>
      </c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29"/>
    </row>
    <row r="100" spans="1:42" ht="15.75" customHeight="1" x14ac:dyDescent="0.15">
      <c r="A100" s="1472"/>
      <c r="B100" s="122" t="s">
        <v>258</v>
      </c>
      <c r="C100" s="122" t="s">
        <v>258</v>
      </c>
      <c r="D100" s="130"/>
      <c r="E100" s="131"/>
      <c r="F100" s="131"/>
      <c r="G100" s="123">
        <f>G101</f>
        <v>15520140</v>
      </c>
      <c r="H100" s="132"/>
      <c r="I100" s="132"/>
      <c r="J100" s="133"/>
      <c r="K100" s="132"/>
      <c r="L100" s="133"/>
      <c r="M100" s="133"/>
      <c r="N100" s="134"/>
      <c r="O100" s="133"/>
      <c r="P100" s="133"/>
      <c r="Q100" s="135"/>
      <c r="R100" s="136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29"/>
    </row>
    <row r="101" spans="1:42" ht="21" customHeight="1" x14ac:dyDescent="0.15">
      <c r="A101" s="1472"/>
      <c r="B101" s="122" t="s">
        <v>336</v>
      </c>
      <c r="C101" s="157" t="s">
        <v>336</v>
      </c>
      <c r="D101" s="130"/>
      <c r="E101" s="131"/>
      <c r="F101" s="131"/>
      <c r="G101" s="123">
        <f>R101</f>
        <v>15520140</v>
      </c>
      <c r="H101" s="132">
        <f>H92</f>
        <v>258669</v>
      </c>
      <c r="I101" s="132" t="s">
        <v>341</v>
      </c>
      <c r="J101" s="133" t="s">
        <v>342</v>
      </c>
      <c r="K101" s="132">
        <v>60</v>
      </c>
      <c r="L101" s="133" t="s">
        <v>343</v>
      </c>
      <c r="M101" s="133" t="s">
        <v>342</v>
      </c>
      <c r="N101" s="134">
        <v>1</v>
      </c>
      <c r="O101" s="133" t="s">
        <v>327</v>
      </c>
      <c r="P101" s="133" t="s">
        <v>345</v>
      </c>
      <c r="Q101" s="135"/>
      <c r="R101" s="136">
        <f>ROUND(H101*K101*N101,-1)</f>
        <v>15520140</v>
      </c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29"/>
    </row>
    <row r="102" spans="1:42" ht="15.75" customHeight="1" x14ac:dyDescent="0.15">
      <c r="A102" s="1472"/>
      <c r="B102" s="122" t="s">
        <v>258</v>
      </c>
      <c r="C102" s="122" t="s">
        <v>258</v>
      </c>
      <c r="D102" s="130"/>
      <c r="E102" s="131"/>
      <c r="F102" s="131"/>
      <c r="G102" s="123">
        <f>G103</f>
        <v>2400000</v>
      </c>
      <c r="H102" s="132"/>
      <c r="I102" s="132"/>
      <c r="J102" s="133"/>
      <c r="K102" s="132"/>
      <c r="L102" s="133"/>
      <c r="M102" s="133"/>
      <c r="N102" s="134"/>
      <c r="O102" s="133"/>
      <c r="P102" s="133"/>
      <c r="Q102" s="135"/>
      <c r="R102" s="136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29"/>
    </row>
    <row r="103" spans="1:42" ht="15.75" customHeight="1" x14ac:dyDescent="0.15">
      <c r="A103" s="1472"/>
      <c r="B103" s="122"/>
      <c r="C103" s="122" t="s">
        <v>338</v>
      </c>
      <c r="D103" s="130"/>
      <c r="E103" s="131"/>
      <c r="F103" s="131"/>
      <c r="G103" s="123">
        <f>R103</f>
        <v>2400000</v>
      </c>
      <c r="H103" s="132">
        <f>H12</f>
        <v>40000</v>
      </c>
      <c r="I103" s="132" t="s">
        <v>341</v>
      </c>
      <c r="J103" s="133" t="s">
        <v>342</v>
      </c>
      <c r="K103" s="132">
        <v>60</v>
      </c>
      <c r="L103" s="133" t="s">
        <v>343</v>
      </c>
      <c r="M103" s="133" t="s">
        <v>342</v>
      </c>
      <c r="N103" s="134">
        <v>1</v>
      </c>
      <c r="O103" s="133" t="s">
        <v>348</v>
      </c>
      <c r="P103" s="133" t="s">
        <v>345</v>
      </c>
      <c r="Q103" s="135"/>
      <c r="R103" s="136">
        <f>ROUND(H103*K103*N103,-1)</f>
        <v>2400000</v>
      </c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29" t="s">
        <v>361</v>
      </c>
    </row>
    <row r="104" spans="1:42" ht="15.75" hidden="1" customHeight="1" x14ac:dyDescent="0.15">
      <c r="A104" s="1472"/>
      <c r="B104" s="1473" t="s">
        <v>288</v>
      </c>
      <c r="C104" s="122" t="s">
        <v>258</v>
      </c>
      <c r="D104" s="130"/>
      <c r="E104" s="131"/>
      <c r="F104" s="131"/>
      <c r="G104" s="123">
        <f>SUM(G105:G106)</f>
        <v>0</v>
      </c>
      <c r="H104" s="132"/>
      <c r="I104" s="132"/>
      <c r="J104" s="133"/>
      <c r="K104" s="132"/>
      <c r="L104" s="133"/>
      <c r="M104" s="133"/>
      <c r="N104" s="134"/>
      <c r="O104" s="133"/>
      <c r="P104" s="133"/>
      <c r="Q104" s="135"/>
      <c r="R104" s="136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29"/>
    </row>
    <row r="105" spans="1:42" ht="15.75" hidden="1" customHeight="1" x14ac:dyDescent="0.15">
      <c r="A105" s="1472"/>
      <c r="B105" s="1473"/>
      <c r="C105" s="122" t="s">
        <v>288</v>
      </c>
      <c r="D105" s="130"/>
      <c r="E105" s="131"/>
      <c r="F105" s="131"/>
      <c r="G105" s="123">
        <f>R105</f>
        <v>0</v>
      </c>
      <c r="H105" s="132">
        <f>H95</f>
        <v>0</v>
      </c>
      <c r="I105" s="132" t="s">
        <v>341</v>
      </c>
      <c r="J105" s="133" t="s">
        <v>342</v>
      </c>
      <c r="K105" s="132">
        <v>51</v>
      </c>
      <c r="L105" s="133" t="s">
        <v>343</v>
      </c>
      <c r="M105" s="133" t="s">
        <v>342</v>
      </c>
      <c r="N105" s="134">
        <v>1</v>
      </c>
      <c r="O105" s="133" t="s">
        <v>346</v>
      </c>
      <c r="P105" s="133" t="s">
        <v>345</v>
      </c>
      <c r="Q105" s="135"/>
      <c r="R105" s="136">
        <f>ROUND(H105*K105*N105,-1)</f>
        <v>0</v>
      </c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29"/>
    </row>
    <row r="106" spans="1:42" ht="15.75" hidden="1" customHeight="1" x14ac:dyDescent="0.15">
      <c r="A106" s="1472"/>
      <c r="B106" s="1473"/>
      <c r="C106" s="122" t="s">
        <v>347</v>
      </c>
      <c r="D106" s="130"/>
      <c r="E106" s="131"/>
      <c r="F106" s="131"/>
      <c r="G106" s="123">
        <f>R106</f>
        <v>0</v>
      </c>
      <c r="H106" s="132"/>
      <c r="I106" s="132" t="s">
        <v>341</v>
      </c>
      <c r="J106" s="133" t="s">
        <v>342</v>
      </c>
      <c r="K106" s="132">
        <v>51</v>
      </c>
      <c r="L106" s="133" t="s">
        <v>343</v>
      </c>
      <c r="M106" s="133" t="s">
        <v>342</v>
      </c>
      <c r="N106" s="134">
        <v>1</v>
      </c>
      <c r="O106" s="133" t="s">
        <v>348</v>
      </c>
      <c r="P106" s="133" t="s">
        <v>345</v>
      </c>
      <c r="Q106" s="135"/>
      <c r="R106" s="136">
        <f>H106*K106*N106</f>
        <v>0</v>
      </c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29" t="s">
        <v>362</v>
      </c>
    </row>
    <row r="107" spans="1:42" s="128" customFormat="1" ht="15.75" customHeight="1" x14ac:dyDescent="0.15">
      <c r="A107" s="1471" t="s">
        <v>363</v>
      </c>
      <c r="B107" s="1473" t="s">
        <v>258</v>
      </c>
      <c r="C107" s="1473"/>
      <c r="D107" s="121"/>
      <c r="E107" s="122"/>
      <c r="F107" s="122"/>
      <c r="G107" s="123">
        <f>G108+G110+G113</f>
        <v>15520140</v>
      </c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6" t="s">
        <v>332</v>
      </c>
      <c r="AF107" s="127"/>
      <c r="AG107" s="127"/>
      <c r="AH107" s="127"/>
      <c r="AI107" s="127"/>
      <c r="AJ107" s="127"/>
      <c r="AL107" s="127"/>
      <c r="AM107" s="127"/>
      <c r="AN107" s="127"/>
      <c r="AO107" s="127"/>
      <c r="AP107" s="127"/>
    </row>
    <row r="108" spans="1:42" s="128" customFormat="1" ht="15.75" customHeight="1" x14ac:dyDescent="0.15">
      <c r="A108" s="1472"/>
      <c r="B108" s="1473" t="s">
        <v>333</v>
      </c>
      <c r="C108" s="122" t="s">
        <v>258</v>
      </c>
      <c r="D108" s="121"/>
      <c r="E108" s="122"/>
      <c r="F108" s="122"/>
      <c r="G108" s="123">
        <f>G109</f>
        <v>0</v>
      </c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9"/>
      <c r="AF108" s="127"/>
      <c r="AG108" s="127"/>
      <c r="AH108" s="127"/>
      <c r="AI108" s="127"/>
      <c r="AJ108" s="127"/>
      <c r="AL108" s="127"/>
      <c r="AM108" s="127"/>
      <c r="AN108" s="127"/>
      <c r="AO108" s="127"/>
      <c r="AP108" s="127"/>
    </row>
    <row r="109" spans="1:42" ht="15.75" customHeight="1" x14ac:dyDescent="0.15">
      <c r="A109" s="1472"/>
      <c r="B109" s="1473"/>
      <c r="C109" s="122" t="s">
        <v>334</v>
      </c>
      <c r="D109" s="130"/>
      <c r="E109" s="131"/>
      <c r="F109" s="131"/>
      <c r="G109" s="123">
        <f>R109</f>
        <v>0</v>
      </c>
      <c r="H109" s="132"/>
      <c r="I109" s="132" t="s">
        <v>341</v>
      </c>
      <c r="J109" s="133" t="s">
        <v>342</v>
      </c>
      <c r="K109" s="132"/>
      <c r="L109" s="133" t="s">
        <v>343</v>
      </c>
      <c r="M109" s="133" t="s">
        <v>342</v>
      </c>
      <c r="N109" s="134">
        <v>1</v>
      </c>
      <c r="O109" s="133" t="s">
        <v>344</v>
      </c>
      <c r="P109" s="133" t="s">
        <v>345</v>
      </c>
      <c r="Q109" s="135"/>
      <c r="R109" s="136">
        <f>H109*K109*N109</f>
        <v>0</v>
      </c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29"/>
    </row>
    <row r="110" spans="1:42" ht="15.75" customHeight="1" x14ac:dyDescent="0.15">
      <c r="A110" s="1472"/>
      <c r="B110" s="1473" t="s">
        <v>336</v>
      </c>
      <c r="C110" s="122" t="s">
        <v>258</v>
      </c>
      <c r="D110" s="130"/>
      <c r="E110" s="131"/>
      <c r="F110" s="131"/>
      <c r="G110" s="123">
        <f>SUM(G111:G112)</f>
        <v>15520140</v>
      </c>
      <c r="H110" s="132"/>
      <c r="I110" s="132"/>
      <c r="J110" s="133"/>
      <c r="K110" s="132"/>
      <c r="L110" s="133"/>
      <c r="M110" s="133"/>
      <c r="N110" s="134"/>
      <c r="O110" s="133"/>
      <c r="P110" s="133"/>
      <c r="Q110" s="135"/>
      <c r="R110" s="136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29"/>
    </row>
    <row r="111" spans="1:42" ht="21" customHeight="1" x14ac:dyDescent="0.15">
      <c r="A111" s="1472"/>
      <c r="B111" s="1473"/>
      <c r="C111" s="157" t="s">
        <v>336</v>
      </c>
      <c r="D111" s="130"/>
      <c r="E111" s="131"/>
      <c r="F111" s="131"/>
      <c r="G111" s="123">
        <f>R111</f>
        <v>15520140</v>
      </c>
      <c r="H111" s="132">
        <f>H101</f>
        <v>258669</v>
      </c>
      <c r="I111" s="132" t="s">
        <v>341</v>
      </c>
      <c r="J111" s="133" t="s">
        <v>342</v>
      </c>
      <c r="K111" s="132">
        <v>60</v>
      </c>
      <c r="L111" s="133" t="s">
        <v>343</v>
      </c>
      <c r="M111" s="133" t="s">
        <v>342</v>
      </c>
      <c r="N111" s="134">
        <v>1</v>
      </c>
      <c r="O111" s="133" t="s">
        <v>327</v>
      </c>
      <c r="P111" s="133" t="s">
        <v>345</v>
      </c>
      <c r="Q111" s="135"/>
      <c r="R111" s="136">
        <f>ROUND(H111*K111*N111,-1)</f>
        <v>15520140</v>
      </c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29"/>
    </row>
    <row r="112" spans="1:42" ht="15.75" customHeight="1" x14ac:dyDescent="0.15">
      <c r="A112" s="1472"/>
      <c r="B112" s="1473"/>
      <c r="C112" s="122" t="s">
        <v>338</v>
      </c>
      <c r="D112" s="130"/>
      <c r="E112" s="131"/>
      <c r="F112" s="131"/>
      <c r="G112" s="123">
        <f>R112</f>
        <v>0</v>
      </c>
      <c r="H112" s="132"/>
      <c r="I112" s="132" t="s">
        <v>341</v>
      </c>
      <c r="J112" s="133" t="s">
        <v>342</v>
      </c>
      <c r="K112" s="132"/>
      <c r="L112" s="133" t="s">
        <v>343</v>
      </c>
      <c r="M112" s="133" t="s">
        <v>342</v>
      </c>
      <c r="N112" s="134">
        <v>1</v>
      </c>
      <c r="O112" s="133" t="s">
        <v>348</v>
      </c>
      <c r="P112" s="133" t="s">
        <v>345</v>
      </c>
      <c r="Q112" s="135"/>
      <c r="R112" s="136">
        <f>ROUND(H112*K112*N112,-1)</f>
        <v>0</v>
      </c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29"/>
    </row>
    <row r="113" spans="1:42" ht="15.75" hidden="1" customHeight="1" x14ac:dyDescent="0.15">
      <c r="A113" s="1472"/>
      <c r="B113" s="1473" t="s">
        <v>288</v>
      </c>
      <c r="C113" s="122" t="s">
        <v>258</v>
      </c>
      <c r="D113" s="130"/>
      <c r="E113" s="131"/>
      <c r="F113" s="131"/>
      <c r="G113" s="123">
        <f>SUM(G114:G115)</f>
        <v>0</v>
      </c>
      <c r="H113" s="132"/>
      <c r="I113" s="132"/>
      <c r="J113" s="133"/>
      <c r="K113" s="132"/>
      <c r="L113" s="133"/>
      <c r="M113" s="133"/>
      <c r="N113" s="134"/>
      <c r="O113" s="133"/>
      <c r="P113" s="133"/>
      <c r="Q113" s="135"/>
      <c r="R113" s="136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29"/>
    </row>
    <row r="114" spans="1:42" ht="15.75" hidden="1" customHeight="1" x14ac:dyDescent="0.15">
      <c r="A114" s="1472"/>
      <c r="B114" s="1473"/>
      <c r="C114" s="122" t="s">
        <v>288</v>
      </c>
      <c r="D114" s="130"/>
      <c r="E114" s="131"/>
      <c r="F114" s="131"/>
      <c r="G114" s="123">
        <f>R114</f>
        <v>0</v>
      </c>
      <c r="H114" s="132">
        <f>H105</f>
        <v>0</v>
      </c>
      <c r="I114" s="132" t="s">
        <v>341</v>
      </c>
      <c r="J114" s="133" t="s">
        <v>342</v>
      </c>
      <c r="K114" s="132">
        <v>51</v>
      </c>
      <c r="L114" s="133" t="s">
        <v>343</v>
      </c>
      <c r="M114" s="133" t="s">
        <v>342</v>
      </c>
      <c r="N114" s="134">
        <v>1</v>
      </c>
      <c r="O114" s="133" t="s">
        <v>346</v>
      </c>
      <c r="P114" s="133" t="s">
        <v>345</v>
      </c>
      <c r="Q114" s="135"/>
      <c r="R114" s="136">
        <f>ROUND(H114*K114*N114,-1)</f>
        <v>0</v>
      </c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29"/>
    </row>
    <row r="115" spans="1:42" ht="15.75" hidden="1" customHeight="1" x14ac:dyDescent="0.15">
      <c r="A115" s="1472"/>
      <c r="B115" s="1473"/>
      <c r="C115" s="122" t="s">
        <v>347</v>
      </c>
      <c r="D115" s="130"/>
      <c r="E115" s="131"/>
      <c r="F115" s="131"/>
      <c r="G115" s="123">
        <f>R115</f>
        <v>0</v>
      </c>
      <c r="H115" s="132"/>
      <c r="I115" s="132" t="s">
        <v>341</v>
      </c>
      <c r="J115" s="133" t="s">
        <v>342</v>
      </c>
      <c r="K115" s="132"/>
      <c r="L115" s="133" t="s">
        <v>343</v>
      </c>
      <c r="M115" s="133" t="s">
        <v>342</v>
      </c>
      <c r="N115" s="134">
        <v>1</v>
      </c>
      <c r="O115" s="133" t="s">
        <v>348</v>
      </c>
      <c r="P115" s="133" t="s">
        <v>345</v>
      </c>
      <c r="Q115" s="135"/>
      <c r="R115" s="136">
        <f>H115*K115*N115</f>
        <v>0</v>
      </c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29"/>
    </row>
    <row r="116" spans="1:42" s="128" customFormat="1" ht="15.75" customHeight="1" x14ac:dyDescent="0.15">
      <c r="A116" s="1471" t="s">
        <v>364</v>
      </c>
      <c r="B116" s="1473" t="s">
        <v>258</v>
      </c>
      <c r="C116" s="1473"/>
      <c r="D116" s="121"/>
      <c r="E116" s="122"/>
      <c r="F116" s="122"/>
      <c r="G116" s="123">
        <f>G117+G119+G122</f>
        <v>15520140</v>
      </c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5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6" t="s">
        <v>931</v>
      </c>
      <c r="AF116" s="127"/>
      <c r="AG116" s="127"/>
      <c r="AH116" s="127"/>
      <c r="AI116" s="127"/>
      <c r="AJ116" s="127"/>
      <c r="AL116" s="127"/>
      <c r="AM116" s="127"/>
      <c r="AN116" s="127"/>
      <c r="AO116" s="127"/>
      <c r="AP116" s="127"/>
    </row>
    <row r="117" spans="1:42" s="128" customFormat="1" ht="15.75" customHeight="1" x14ac:dyDescent="0.15">
      <c r="A117" s="1472"/>
      <c r="B117" s="1473" t="s">
        <v>333</v>
      </c>
      <c r="C117" s="122" t="s">
        <v>258</v>
      </c>
      <c r="D117" s="121"/>
      <c r="E117" s="122"/>
      <c r="F117" s="122"/>
      <c r="G117" s="123">
        <f>G118</f>
        <v>0</v>
      </c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5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9"/>
      <c r="AF117" s="127"/>
      <c r="AG117" s="127"/>
      <c r="AH117" s="127"/>
      <c r="AI117" s="127"/>
      <c r="AJ117" s="127"/>
      <c r="AL117" s="127"/>
      <c r="AM117" s="127"/>
      <c r="AN117" s="127"/>
      <c r="AO117" s="127"/>
      <c r="AP117" s="127"/>
    </row>
    <row r="118" spans="1:42" ht="15.75" customHeight="1" x14ac:dyDescent="0.15">
      <c r="A118" s="1472"/>
      <c r="B118" s="1473"/>
      <c r="C118" s="122" t="s">
        <v>334</v>
      </c>
      <c r="D118" s="130"/>
      <c r="E118" s="131"/>
      <c r="F118" s="131"/>
      <c r="G118" s="123">
        <f>R118</f>
        <v>0</v>
      </c>
      <c r="H118" s="132"/>
      <c r="I118" s="132" t="s">
        <v>341</v>
      </c>
      <c r="J118" s="133" t="s">
        <v>342</v>
      </c>
      <c r="K118" s="132"/>
      <c r="L118" s="133" t="s">
        <v>343</v>
      </c>
      <c r="M118" s="133" t="s">
        <v>342</v>
      </c>
      <c r="N118" s="134">
        <v>1</v>
      </c>
      <c r="O118" s="133" t="s">
        <v>344</v>
      </c>
      <c r="P118" s="133" t="s">
        <v>345</v>
      </c>
      <c r="Q118" s="135"/>
      <c r="R118" s="136">
        <f>H118*K118*N118</f>
        <v>0</v>
      </c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29"/>
    </row>
    <row r="119" spans="1:42" ht="15.75" customHeight="1" x14ac:dyDescent="0.15">
      <c r="A119" s="1472"/>
      <c r="B119" s="1473" t="s">
        <v>336</v>
      </c>
      <c r="C119" s="122" t="s">
        <v>258</v>
      </c>
      <c r="D119" s="130"/>
      <c r="E119" s="131"/>
      <c r="F119" s="131"/>
      <c r="G119" s="123">
        <f>SUM(G120:G121)</f>
        <v>15520140</v>
      </c>
      <c r="H119" s="132"/>
      <c r="I119" s="132"/>
      <c r="J119" s="133"/>
      <c r="K119" s="132"/>
      <c r="L119" s="133"/>
      <c r="M119" s="133"/>
      <c r="N119" s="134"/>
      <c r="O119" s="133"/>
      <c r="P119" s="133"/>
      <c r="Q119" s="135"/>
      <c r="R119" s="136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29"/>
    </row>
    <row r="120" spans="1:42" ht="21" customHeight="1" x14ac:dyDescent="0.15">
      <c r="A120" s="1472"/>
      <c r="B120" s="1473"/>
      <c r="C120" s="157" t="s">
        <v>336</v>
      </c>
      <c r="D120" s="130"/>
      <c r="E120" s="131"/>
      <c r="F120" s="131"/>
      <c r="G120" s="123">
        <f>R120</f>
        <v>15520140</v>
      </c>
      <c r="H120" s="132">
        <f>H111</f>
        <v>258669</v>
      </c>
      <c r="I120" s="132" t="s">
        <v>341</v>
      </c>
      <c r="J120" s="133" t="s">
        <v>342</v>
      </c>
      <c r="K120" s="132">
        <v>60</v>
      </c>
      <c r="L120" s="133" t="s">
        <v>343</v>
      </c>
      <c r="M120" s="133" t="s">
        <v>342</v>
      </c>
      <c r="N120" s="134">
        <v>1</v>
      </c>
      <c r="O120" s="133" t="s">
        <v>327</v>
      </c>
      <c r="P120" s="133" t="s">
        <v>345</v>
      </c>
      <c r="Q120" s="135"/>
      <c r="R120" s="136">
        <f>ROUND(H120*K120*N120,-1)</f>
        <v>15520140</v>
      </c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29"/>
    </row>
    <row r="121" spans="1:42" ht="15.75" customHeight="1" thickBot="1" x14ac:dyDescent="0.2">
      <c r="A121" s="1472"/>
      <c r="B121" s="1473"/>
      <c r="C121" s="122" t="s">
        <v>338</v>
      </c>
      <c r="D121" s="130"/>
      <c r="E121" s="131"/>
      <c r="F121" s="131"/>
      <c r="G121" s="123">
        <f>R121</f>
        <v>0</v>
      </c>
      <c r="H121" s="132"/>
      <c r="I121" s="132" t="s">
        <v>341</v>
      </c>
      <c r="J121" s="133" t="s">
        <v>342</v>
      </c>
      <c r="K121" s="132"/>
      <c r="L121" s="133" t="s">
        <v>343</v>
      </c>
      <c r="M121" s="133" t="s">
        <v>342</v>
      </c>
      <c r="N121" s="134">
        <v>1</v>
      </c>
      <c r="O121" s="133" t="s">
        <v>348</v>
      </c>
      <c r="P121" s="133" t="s">
        <v>345</v>
      </c>
      <c r="Q121" s="135"/>
      <c r="R121" s="136">
        <f>ROUND(H121*K121*N121,-1)</f>
        <v>0</v>
      </c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29"/>
    </row>
    <row r="122" spans="1:42" ht="15.75" hidden="1" customHeight="1" x14ac:dyDescent="0.15">
      <c r="A122" s="1472"/>
      <c r="B122" s="1473"/>
      <c r="C122" s="122"/>
      <c r="D122" s="130"/>
      <c r="E122" s="131"/>
      <c r="F122" s="131"/>
      <c r="G122" s="123"/>
      <c r="H122" s="132"/>
      <c r="I122" s="132"/>
      <c r="J122" s="133"/>
      <c r="K122" s="132"/>
      <c r="L122" s="133"/>
      <c r="M122" s="133"/>
      <c r="N122" s="134"/>
      <c r="O122" s="133"/>
      <c r="P122" s="133"/>
      <c r="Q122" s="135"/>
      <c r="R122" s="136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29"/>
    </row>
    <row r="123" spans="1:42" ht="15.75" hidden="1" customHeight="1" x14ac:dyDescent="0.15">
      <c r="A123" s="1472"/>
      <c r="B123" s="1473"/>
      <c r="C123" s="122"/>
      <c r="D123" s="130"/>
      <c r="E123" s="131"/>
      <c r="F123" s="131"/>
      <c r="G123" s="123"/>
      <c r="H123" s="132"/>
      <c r="I123" s="132"/>
      <c r="J123" s="133"/>
      <c r="K123" s="132"/>
      <c r="L123" s="133"/>
      <c r="M123" s="133"/>
      <c r="N123" s="134"/>
      <c r="O123" s="133"/>
      <c r="P123" s="133"/>
      <c r="Q123" s="135"/>
      <c r="R123" s="136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29"/>
    </row>
    <row r="124" spans="1:42" ht="15.75" hidden="1" customHeight="1" thickBot="1" x14ac:dyDescent="0.2">
      <c r="A124" s="1474"/>
      <c r="B124" s="1475"/>
      <c r="C124" s="161"/>
      <c r="D124" s="162"/>
      <c r="E124" s="163"/>
      <c r="F124" s="163"/>
      <c r="G124" s="164"/>
      <c r="H124" s="165"/>
      <c r="I124" s="165"/>
      <c r="J124" s="166"/>
      <c r="K124" s="165"/>
      <c r="L124" s="166"/>
      <c r="M124" s="166"/>
      <c r="N124" s="167"/>
      <c r="O124" s="166"/>
      <c r="P124" s="166"/>
      <c r="Q124" s="168"/>
      <c r="R124" s="169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9"/>
    </row>
    <row r="125" spans="1:42" hidden="1" x14ac:dyDescent="0.15"/>
    <row r="126" spans="1:42" hidden="1" x14ac:dyDescent="0.15"/>
    <row r="127" spans="1:42" hidden="1" x14ac:dyDescent="0.15">
      <c r="G127" s="110" t="s">
        <v>360</v>
      </c>
      <c r="H127" s="132"/>
      <c r="I127" s="132" t="s">
        <v>341</v>
      </c>
      <c r="J127" s="133" t="s">
        <v>342</v>
      </c>
      <c r="K127" s="132">
        <v>0</v>
      </c>
      <c r="L127" s="133" t="s">
        <v>343</v>
      </c>
      <c r="M127" s="133" t="s">
        <v>342</v>
      </c>
      <c r="N127" s="134">
        <v>1</v>
      </c>
      <c r="O127" s="133" t="s">
        <v>344</v>
      </c>
      <c r="P127" s="133" t="s">
        <v>345</v>
      </c>
      <c r="Q127" s="135"/>
      <c r="R127" s="136">
        <f>H127*K127*N127</f>
        <v>0</v>
      </c>
    </row>
    <row r="128" spans="1:42" hidden="1" x14ac:dyDescent="0.15">
      <c r="H128" s="132">
        <v>116555</v>
      </c>
      <c r="I128" s="132" t="s">
        <v>341</v>
      </c>
      <c r="J128" s="133" t="s">
        <v>342</v>
      </c>
      <c r="K128" s="132">
        <v>0</v>
      </c>
      <c r="L128" s="133" t="s">
        <v>343</v>
      </c>
      <c r="M128" s="133" t="s">
        <v>342</v>
      </c>
      <c r="N128" s="134">
        <v>1</v>
      </c>
      <c r="O128" s="133" t="s">
        <v>327</v>
      </c>
      <c r="P128" s="133" t="s">
        <v>345</v>
      </c>
      <c r="Q128" s="135"/>
      <c r="R128" s="136">
        <f>ROUND(H128*K128*N128,-1)</f>
        <v>0</v>
      </c>
    </row>
    <row r="129" spans="1:31" hidden="1" x14ac:dyDescent="0.15">
      <c r="H129" s="132">
        <v>23050</v>
      </c>
      <c r="I129" s="132" t="s">
        <v>341</v>
      </c>
      <c r="J129" s="133" t="s">
        <v>342</v>
      </c>
      <c r="K129" s="132">
        <v>0</v>
      </c>
      <c r="L129" s="133" t="s">
        <v>343</v>
      </c>
      <c r="M129" s="133" t="s">
        <v>342</v>
      </c>
      <c r="N129" s="134">
        <v>1</v>
      </c>
      <c r="O129" s="133" t="s">
        <v>348</v>
      </c>
      <c r="P129" s="133" t="s">
        <v>345</v>
      </c>
      <c r="Q129" s="135"/>
      <c r="R129" s="136">
        <f>ROUND(H129*K129*N129,-1)</f>
        <v>0</v>
      </c>
    </row>
    <row r="130" spans="1:31" hidden="1" x14ac:dyDescent="0.15">
      <c r="H130" s="132">
        <v>11845</v>
      </c>
      <c r="I130" s="132" t="s">
        <v>341</v>
      </c>
      <c r="J130" s="133" t="s">
        <v>342</v>
      </c>
      <c r="K130" s="132">
        <v>0</v>
      </c>
      <c r="L130" s="133" t="s">
        <v>343</v>
      </c>
      <c r="M130" s="133" t="s">
        <v>342</v>
      </c>
      <c r="N130" s="134">
        <v>1</v>
      </c>
      <c r="O130" s="133" t="s">
        <v>346</v>
      </c>
      <c r="P130" s="133" t="s">
        <v>345</v>
      </c>
      <c r="Q130" s="135"/>
      <c r="R130" s="136">
        <f>ROUND(H130*K130*N130,-1)</f>
        <v>0</v>
      </c>
    </row>
    <row r="131" spans="1:31" hidden="1" x14ac:dyDescent="0.15">
      <c r="H131" s="145">
        <v>17490</v>
      </c>
      <c r="I131" s="145" t="s">
        <v>341</v>
      </c>
      <c r="J131" s="146" t="s">
        <v>342</v>
      </c>
      <c r="K131" s="132">
        <v>0</v>
      </c>
      <c r="L131" s="146" t="s">
        <v>343</v>
      </c>
      <c r="M131" s="146" t="s">
        <v>342</v>
      </c>
      <c r="N131" s="147">
        <v>1</v>
      </c>
      <c r="O131" s="146" t="s">
        <v>348</v>
      </c>
      <c r="P131" s="146" t="s">
        <v>345</v>
      </c>
      <c r="Q131" s="148"/>
      <c r="R131" s="149">
        <f>H131*K131*N131</f>
        <v>0</v>
      </c>
    </row>
    <row r="132" spans="1:31" hidden="1" x14ac:dyDescent="0.15"/>
    <row r="133" spans="1:31" hidden="1" x14ac:dyDescent="0.15">
      <c r="G133" s="110" t="s">
        <v>363</v>
      </c>
      <c r="H133" s="132"/>
      <c r="I133" s="132" t="s">
        <v>341</v>
      </c>
      <c r="J133" s="133" t="s">
        <v>342</v>
      </c>
      <c r="K133" s="132">
        <v>0</v>
      </c>
      <c r="L133" s="133" t="s">
        <v>343</v>
      </c>
      <c r="M133" s="133" t="s">
        <v>342</v>
      </c>
      <c r="N133" s="134">
        <v>1</v>
      </c>
      <c r="O133" s="133" t="s">
        <v>344</v>
      </c>
      <c r="P133" s="133" t="s">
        <v>345</v>
      </c>
      <c r="Q133" s="135"/>
      <c r="R133" s="136">
        <f>H133*K133*N133</f>
        <v>0</v>
      </c>
    </row>
    <row r="134" spans="1:31" hidden="1" x14ac:dyDescent="0.15">
      <c r="H134" s="132">
        <v>116555</v>
      </c>
      <c r="I134" s="132" t="s">
        <v>341</v>
      </c>
      <c r="J134" s="133" t="s">
        <v>342</v>
      </c>
      <c r="K134" s="132">
        <v>0</v>
      </c>
      <c r="L134" s="133" t="s">
        <v>343</v>
      </c>
      <c r="M134" s="133" t="s">
        <v>342</v>
      </c>
      <c r="N134" s="134">
        <v>1</v>
      </c>
      <c r="O134" s="133" t="s">
        <v>327</v>
      </c>
      <c r="P134" s="133" t="s">
        <v>345</v>
      </c>
      <c r="Q134" s="135"/>
      <c r="R134" s="136">
        <f>ROUND(H134*K134*N134,-1)</f>
        <v>0</v>
      </c>
    </row>
    <row r="135" spans="1:31" hidden="1" x14ac:dyDescent="0.15">
      <c r="H135" s="132"/>
      <c r="I135" s="132" t="s">
        <v>341</v>
      </c>
      <c r="J135" s="133" t="s">
        <v>342</v>
      </c>
      <c r="K135" s="132">
        <v>0</v>
      </c>
      <c r="L135" s="133" t="s">
        <v>343</v>
      </c>
      <c r="M135" s="133" t="s">
        <v>342</v>
      </c>
      <c r="N135" s="134">
        <v>1</v>
      </c>
      <c r="O135" s="133" t="s">
        <v>348</v>
      </c>
      <c r="P135" s="133" t="s">
        <v>345</v>
      </c>
      <c r="Q135" s="135"/>
      <c r="R135" s="136">
        <f>ROUND(H135*K135*N135,-1)</f>
        <v>0</v>
      </c>
    </row>
    <row r="136" spans="1:31" hidden="1" x14ac:dyDescent="0.15">
      <c r="H136" s="132">
        <v>11845</v>
      </c>
      <c r="I136" s="132" t="s">
        <v>341</v>
      </c>
      <c r="J136" s="133" t="s">
        <v>342</v>
      </c>
      <c r="K136" s="132">
        <v>0</v>
      </c>
      <c r="L136" s="133" t="s">
        <v>343</v>
      </c>
      <c r="M136" s="133" t="s">
        <v>342</v>
      </c>
      <c r="N136" s="134">
        <v>1</v>
      </c>
      <c r="O136" s="133" t="s">
        <v>346</v>
      </c>
      <c r="P136" s="133" t="s">
        <v>345</v>
      </c>
      <c r="Q136" s="135"/>
      <c r="R136" s="136">
        <f>ROUND(H136*K136*N136,-1)</f>
        <v>0</v>
      </c>
    </row>
    <row r="137" spans="1:31" hidden="1" x14ac:dyDescent="0.15">
      <c r="H137" s="145"/>
      <c r="I137" s="145" t="s">
        <v>341</v>
      </c>
      <c r="J137" s="146" t="s">
        <v>342</v>
      </c>
      <c r="K137" s="132">
        <v>0</v>
      </c>
      <c r="L137" s="146" t="s">
        <v>343</v>
      </c>
      <c r="M137" s="146" t="s">
        <v>342</v>
      </c>
      <c r="N137" s="147">
        <v>1</v>
      </c>
      <c r="O137" s="146" t="s">
        <v>348</v>
      </c>
      <c r="P137" s="146" t="s">
        <v>345</v>
      </c>
      <c r="Q137" s="148"/>
      <c r="R137" s="149">
        <f>H137*K137*N137</f>
        <v>0</v>
      </c>
    </row>
    <row r="138" spans="1:31" hidden="1" x14ac:dyDescent="0.15"/>
    <row r="139" spans="1:31" hidden="1" x14ac:dyDescent="0.15">
      <c r="G139" s="110" t="s">
        <v>364</v>
      </c>
      <c r="H139" s="132"/>
      <c r="I139" s="132" t="s">
        <v>341</v>
      </c>
      <c r="J139" s="133" t="s">
        <v>342</v>
      </c>
      <c r="K139" s="132">
        <v>0</v>
      </c>
      <c r="L139" s="133" t="s">
        <v>343</v>
      </c>
      <c r="M139" s="133" t="s">
        <v>342</v>
      </c>
      <c r="N139" s="134">
        <v>1</v>
      </c>
      <c r="O139" s="133" t="s">
        <v>344</v>
      </c>
      <c r="P139" s="133" t="s">
        <v>345</v>
      </c>
      <c r="Q139" s="135"/>
      <c r="R139" s="136">
        <f>H139*K139*N139</f>
        <v>0</v>
      </c>
    </row>
    <row r="140" spans="1:31" hidden="1" x14ac:dyDescent="0.15">
      <c r="H140" s="132">
        <v>116555</v>
      </c>
      <c r="I140" s="132" t="s">
        <v>341</v>
      </c>
      <c r="J140" s="133" t="s">
        <v>342</v>
      </c>
      <c r="K140" s="132">
        <v>0</v>
      </c>
      <c r="L140" s="133" t="s">
        <v>343</v>
      </c>
      <c r="M140" s="133" t="s">
        <v>342</v>
      </c>
      <c r="N140" s="134">
        <v>1</v>
      </c>
      <c r="O140" s="133" t="s">
        <v>327</v>
      </c>
      <c r="P140" s="133" t="s">
        <v>345</v>
      </c>
      <c r="Q140" s="135"/>
      <c r="R140" s="136">
        <f>ROUND(H140*K140*N140,-1)</f>
        <v>0</v>
      </c>
    </row>
    <row r="141" spans="1:31" hidden="1" x14ac:dyDescent="0.15">
      <c r="H141" s="132"/>
      <c r="I141" s="132" t="s">
        <v>341</v>
      </c>
      <c r="J141" s="133" t="s">
        <v>342</v>
      </c>
      <c r="K141" s="132">
        <v>0</v>
      </c>
      <c r="L141" s="133" t="s">
        <v>343</v>
      </c>
      <c r="M141" s="133" t="s">
        <v>342</v>
      </c>
      <c r="N141" s="134">
        <v>1</v>
      </c>
      <c r="O141" s="133" t="s">
        <v>348</v>
      </c>
      <c r="P141" s="133" t="s">
        <v>345</v>
      </c>
      <c r="Q141" s="135"/>
      <c r="R141" s="136">
        <f>ROUND(H141*K141*N141,-1)</f>
        <v>0</v>
      </c>
    </row>
    <row r="142" spans="1:31" hidden="1" x14ac:dyDescent="0.15">
      <c r="H142" s="132">
        <v>11845</v>
      </c>
      <c r="I142" s="132" t="s">
        <v>341</v>
      </c>
      <c r="J142" s="133" t="s">
        <v>342</v>
      </c>
      <c r="K142" s="132">
        <v>0</v>
      </c>
      <c r="L142" s="133" t="s">
        <v>343</v>
      </c>
      <c r="M142" s="133" t="s">
        <v>342</v>
      </c>
      <c r="N142" s="134">
        <v>1</v>
      </c>
      <c r="O142" s="133" t="s">
        <v>346</v>
      </c>
      <c r="P142" s="133" t="s">
        <v>345</v>
      </c>
      <c r="Q142" s="135"/>
      <c r="R142" s="136">
        <f>ROUND(H142*K142*N142,-1)</f>
        <v>0</v>
      </c>
    </row>
    <row r="143" spans="1:31" ht="14.25" hidden="1" thickBot="1" x14ac:dyDescent="0.2">
      <c r="H143" s="173"/>
      <c r="I143" s="173" t="s">
        <v>341</v>
      </c>
      <c r="J143" s="174" t="s">
        <v>342</v>
      </c>
      <c r="K143" s="173">
        <v>0</v>
      </c>
      <c r="L143" s="174" t="s">
        <v>343</v>
      </c>
      <c r="M143" s="174" t="s">
        <v>342</v>
      </c>
      <c r="N143" s="175">
        <v>1</v>
      </c>
      <c r="O143" s="174" t="s">
        <v>348</v>
      </c>
      <c r="P143" s="174" t="s">
        <v>345</v>
      </c>
      <c r="Q143" s="176"/>
      <c r="R143" s="177">
        <f>H143*K143*N143</f>
        <v>0</v>
      </c>
    </row>
    <row r="144" spans="1:31" ht="14.25" thickTop="1" x14ac:dyDescent="0.15">
      <c r="A144" s="178"/>
      <c r="B144" s="179"/>
      <c r="C144" s="179"/>
      <c r="D144" s="180"/>
      <c r="E144" s="178"/>
      <c r="F144" s="178"/>
      <c r="G144" s="181"/>
      <c r="H144" s="182"/>
      <c r="I144" s="182"/>
      <c r="J144" s="180"/>
      <c r="K144" s="182"/>
      <c r="L144" s="180"/>
      <c r="M144" s="180"/>
      <c r="N144" s="181"/>
      <c r="O144" s="180"/>
      <c r="P144" s="180"/>
      <c r="Q144" s="183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4"/>
    </row>
  </sheetData>
  <mergeCells count="68">
    <mergeCell ref="A2:P2"/>
    <mergeCell ref="B4:C4"/>
    <mergeCell ref="H4:R4"/>
    <mergeCell ref="A5:C5"/>
    <mergeCell ref="A6:A15"/>
    <mergeCell ref="B6:C6"/>
    <mergeCell ref="B7:B8"/>
    <mergeCell ref="B9:B10"/>
    <mergeCell ref="B11:B12"/>
    <mergeCell ref="A25:A33"/>
    <mergeCell ref="B25:C25"/>
    <mergeCell ref="B26:B27"/>
    <mergeCell ref="B28:B30"/>
    <mergeCell ref="B31:B33"/>
    <mergeCell ref="A16:A24"/>
    <mergeCell ref="B16:C16"/>
    <mergeCell ref="B17:B18"/>
    <mergeCell ref="B19:B21"/>
    <mergeCell ref="B22:B24"/>
    <mergeCell ref="A43:A51"/>
    <mergeCell ref="B43:C43"/>
    <mergeCell ref="B44:B45"/>
    <mergeCell ref="B46:B48"/>
    <mergeCell ref="B49:B51"/>
    <mergeCell ref="A34:A42"/>
    <mergeCell ref="B34:C34"/>
    <mergeCell ref="B35:B36"/>
    <mergeCell ref="B37:B39"/>
    <mergeCell ref="B40:B42"/>
    <mergeCell ref="A61:A69"/>
    <mergeCell ref="B61:C61"/>
    <mergeCell ref="B62:B63"/>
    <mergeCell ref="B64:B66"/>
    <mergeCell ref="B67:B69"/>
    <mergeCell ref="A52:A60"/>
    <mergeCell ref="B52:C52"/>
    <mergeCell ref="B53:B54"/>
    <mergeCell ref="B55:B57"/>
    <mergeCell ref="B58:B60"/>
    <mergeCell ref="A88:A96"/>
    <mergeCell ref="B88:C88"/>
    <mergeCell ref="B89:B90"/>
    <mergeCell ref="B91:B93"/>
    <mergeCell ref="B94:B96"/>
    <mergeCell ref="A79:A87"/>
    <mergeCell ref="B79:C79"/>
    <mergeCell ref="B80:B81"/>
    <mergeCell ref="B82:B84"/>
    <mergeCell ref="B85:B87"/>
    <mergeCell ref="A70:A78"/>
    <mergeCell ref="B70:C70"/>
    <mergeCell ref="B71:B72"/>
    <mergeCell ref="B73:B75"/>
    <mergeCell ref="B76:B78"/>
    <mergeCell ref="A116:A124"/>
    <mergeCell ref="B116:C116"/>
    <mergeCell ref="B117:B118"/>
    <mergeCell ref="B119:B121"/>
    <mergeCell ref="B122:B124"/>
    <mergeCell ref="A97:A106"/>
    <mergeCell ref="B97:C97"/>
    <mergeCell ref="B98:B99"/>
    <mergeCell ref="A107:A115"/>
    <mergeCell ref="B107:C107"/>
    <mergeCell ref="B108:B109"/>
    <mergeCell ref="B110:B112"/>
    <mergeCell ref="B113:B115"/>
    <mergeCell ref="B104:B106"/>
  </mergeCells>
  <phoneticPr fontId="5" type="noConversion"/>
  <pageMargins left="0.7" right="0.7" top="0.75" bottom="0.33" header="0.3" footer="0.3"/>
  <pageSetup paperSize="9" orientation="portrait" horizontalDpi="4294967293" verticalDpi="4294967293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23" sqref="V23"/>
    </sheetView>
  </sheetViews>
  <sheetFormatPr defaultRowHeight="13.5" x14ac:dyDescent="0.15"/>
  <cols>
    <col min="1" max="1" width="12.5" style="94" customWidth="1"/>
    <col min="2" max="2" width="11" style="170" customWidth="1"/>
    <col min="3" max="3" width="11.125" style="170" customWidth="1"/>
    <col min="4" max="4" width="5.375" style="104" customWidth="1"/>
    <col min="5" max="5" width="6.5" style="171" customWidth="1"/>
    <col min="6" max="6" width="2.625" style="94" customWidth="1"/>
    <col min="7" max="7" width="2" style="110" customWidth="1"/>
    <col min="8" max="8" width="2.875" style="110" customWidth="1"/>
    <col min="9" max="9" width="2.625" style="104" customWidth="1"/>
    <col min="10" max="10" width="2.125" style="104" customWidth="1"/>
    <col min="11" max="11" width="4.5" style="104" bestFit="1" customWidth="1"/>
    <col min="12" max="12" width="3.875" style="104" customWidth="1"/>
    <col min="13" max="13" width="2.25" style="104" customWidth="1"/>
    <col min="14" max="14" width="9.5" style="104" bestFit="1" customWidth="1"/>
    <col min="15" max="15" width="10.75" style="110" customWidth="1"/>
    <col min="16" max="16" width="11.5" style="104" customWidth="1"/>
    <col min="17" max="18" width="9.75" style="106" customWidth="1"/>
    <col min="19" max="19" width="9.75" style="186" customWidth="1"/>
    <col min="20" max="32" width="9.75" style="138" customWidth="1"/>
    <col min="33" max="33" width="9.75" style="187" customWidth="1"/>
    <col min="34" max="34" width="11.875" style="138" hidden="1" customWidth="1"/>
    <col min="35" max="35" width="7" style="138" hidden="1" customWidth="1"/>
    <col min="36" max="36" width="5.375" style="138" hidden="1" customWidth="1"/>
    <col min="37" max="37" width="13" style="138" customWidth="1"/>
    <col min="38" max="38" width="15.125" style="138" customWidth="1"/>
    <col min="39" max="39" width="25.75" style="107" customWidth="1"/>
    <col min="40" max="40" width="12.625" style="138" customWidth="1"/>
    <col min="41" max="41" width="12.875" style="138" customWidth="1"/>
    <col min="42" max="42" width="11.25" style="138" customWidth="1"/>
    <col min="43" max="44" width="9" style="138"/>
    <col min="45" max="45" width="10.5" style="93" bestFit="1" customWidth="1"/>
    <col min="46" max="16384" width="9" style="93"/>
  </cols>
  <sheetData>
    <row r="1" spans="1:18" ht="36" customHeight="1" x14ac:dyDescent="0.15">
      <c r="A1" s="1488" t="s">
        <v>365</v>
      </c>
      <c r="B1" s="1488"/>
      <c r="C1" s="1488"/>
      <c r="D1" s="1488"/>
      <c r="E1" s="1488"/>
      <c r="F1" s="1488"/>
      <c r="G1" s="1488"/>
      <c r="H1" s="1488"/>
      <c r="I1" s="1488"/>
      <c r="J1" s="1488"/>
      <c r="K1" s="1488"/>
      <c r="L1" s="1488"/>
      <c r="M1" s="1488"/>
      <c r="N1" s="1488"/>
      <c r="O1" s="1488"/>
      <c r="P1" s="1488"/>
      <c r="Q1" s="185"/>
      <c r="R1" s="185"/>
    </row>
    <row r="2" spans="1:18" ht="20.25" customHeight="1" x14ac:dyDescent="0.15">
      <c r="A2" s="108"/>
      <c r="B2" s="108"/>
      <c r="C2" s="108"/>
      <c r="D2" s="108"/>
      <c r="E2" s="108"/>
      <c r="F2" s="108"/>
      <c r="G2" s="109"/>
      <c r="H2" s="109"/>
      <c r="I2" s="109"/>
      <c r="J2" s="109"/>
      <c r="K2" s="109"/>
      <c r="L2" s="109"/>
      <c r="M2" s="109"/>
      <c r="N2" s="109"/>
      <c r="O2" s="109"/>
      <c r="P2" s="188" t="s">
        <v>244</v>
      </c>
      <c r="Q2" s="109"/>
      <c r="R2" s="109"/>
    </row>
    <row r="3" spans="1:18" ht="22.5" customHeight="1" thickBot="1" x14ac:dyDescent="0.2">
      <c r="A3" s="189" t="s">
        <v>1</v>
      </c>
      <c r="B3" s="190" t="s">
        <v>2</v>
      </c>
      <c r="C3" s="190" t="s">
        <v>3</v>
      </c>
      <c r="D3" s="1504" t="s">
        <v>366</v>
      </c>
      <c r="E3" s="1505"/>
      <c r="F3" s="1505"/>
      <c r="G3" s="1505"/>
      <c r="H3" s="1505"/>
      <c r="I3" s="1505"/>
      <c r="J3" s="1505"/>
      <c r="K3" s="1505"/>
      <c r="L3" s="1505"/>
      <c r="M3" s="1505"/>
      <c r="N3" s="1505"/>
      <c r="O3" s="191" t="s">
        <v>367</v>
      </c>
      <c r="P3" s="192" t="s">
        <v>368</v>
      </c>
    </row>
    <row r="4" spans="1:18" ht="23.25" customHeight="1" thickTop="1" x14ac:dyDescent="0.15">
      <c r="A4" s="1506" t="s">
        <v>369</v>
      </c>
      <c r="B4" s="1507"/>
      <c r="C4" s="1507"/>
      <c r="D4" s="1507"/>
      <c r="E4" s="1507"/>
      <c r="F4" s="1507"/>
      <c r="G4" s="1507"/>
      <c r="H4" s="1507"/>
      <c r="I4" s="1507"/>
      <c r="J4" s="1507"/>
      <c r="K4" s="1507"/>
      <c r="L4" s="1507"/>
      <c r="M4" s="1507"/>
      <c r="N4" s="1507"/>
      <c r="O4" s="193">
        <f>O5+O19+O33+O40</f>
        <v>32840000</v>
      </c>
      <c r="P4" s="194"/>
    </row>
    <row r="5" spans="1:18" ht="27.75" customHeight="1" x14ac:dyDescent="0.15">
      <c r="A5" s="195" t="s">
        <v>370</v>
      </c>
      <c r="B5" s="196" t="s">
        <v>370</v>
      </c>
      <c r="C5" s="196" t="s">
        <v>370</v>
      </c>
      <c r="D5" s="1508" t="s">
        <v>255</v>
      </c>
      <c r="E5" s="1509"/>
      <c r="F5" s="1509"/>
      <c r="G5" s="1509"/>
      <c r="H5" s="1509"/>
      <c r="I5" s="1509"/>
      <c r="J5" s="1509"/>
      <c r="K5" s="1509"/>
      <c r="L5" s="1509"/>
      <c r="M5" s="1509"/>
      <c r="N5" s="1509"/>
      <c r="O5" s="197">
        <f>SUM(O7:O18)</f>
        <v>14600000</v>
      </c>
      <c r="P5" s="198"/>
    </row>
    <row r="6" spans="1:18" ht="27.75" hidden="1" customHeight="1" x14ac:dyDescent="0.15">
      <c r="A6" s="199"/>
      <c r="B6" s="200"/>
      <c r="C6" s="201"/>
      <c r="D6" s="202" t="s">
        <v>364</v>
      </c>
      <c r="E6" s="203">
        <v>500</v>
      </c>
      <c r="F6" s="204" t="s">
        <v>341</v>
      </c>
      <c r="G6" s="205" t="s">
        <v>342</v>
      </c>
      <c r="H6" s="205">
        <v>80</v>
      </c>
      <c r="I6" s="206" t="s">
        <v>343</v>
      </c>
      <c r="J6" s="206" t="s">
        <v>342</v>
      </c>
      <c r="K6" s="205">
        <v>365</v>
      </c>
      <c r="L6" s="206" t="s">
        <v>344</v>
      </c>
      <c r="M6" s="206" t="s">
        <v>345</v>
      </c>
      <c r="N6" s="207">
        <f>E6*H6*K6</f>
        <v>14600000</v>
      </c>
      <c r="O6" s="208">
        <f>N6</f>
        <v>14600000</v>
      </c>
      <c r="P6" s="198"/>
    </row>
    <row r="7" spans="1:18" ht="22.5" customHeight="1" x14ac:dyDescent="0.15">
      <c r="A7" s="209"/>
      <c r="B7" s="210"/>
      <c r="C7" s="210"/>
      <c r="D7" s="202" t="s">
        <v>371</v>
      </c>
      <c r="E7" s="203">
        <v>500</v>
      </c>
      <c r="F7" s="204" t="s">
        <v>341</v>
      </c>
      <c r="G7" s="205" t="s">
        <v>342</v>
      </c>
      <c r="H7" s="205">
        <v>80</v>
      </c>
      <c r="I7" s="206" t="s">
        <v>343</v>
      </c>
      <c r="J7" s="206" t="s">
        <v>342</v>
      </c>
      <c r="K7" s="205">
        <v>31</v>
      </c>
      <c r="L7" s="206" t="s">
        <v>344</v>
      </c>
      <c r="M7" s="206" t="s">
        <v>345</v>
      </c>
      <c r="N7" s="207">
        <f>E7*H7*K7</f>
        <v>1240000</v>
      </c>
      <c r="O7" s="208">
        <f>N7</f>
        <v>1240000</v>
      </c>
      <c r="P7" s="198"/>
    </row>
    <row r="8" spans="1:18" ht="22.5" customHeight="1" x14ac:dyDescent="0.15">
      <c r="A8" s="211"/>
      <c r="B8" s="212"/>
      <c r="C8" s="212"/>
      <c r="D8" s="202" t="s">
        <v>372</v>
      </c>
      <c r="E8" s="203">
        <v>500</v>
      </c>
      <c r="F8" s="204" t="s">
        <v>341</v>
      </c>
      <c r="G8" s="205" t="s">
        <v>342</v>
      </c>
      <c r="H8" s="205">
        <v>80</v>
      </c>
      <c r="I8" s="206" t="s">
        <v>343</v>
      </c>
      <c r="J8" s="206" t="s">
        <v>342</v>
      </c>
      <c r="K8" s="205">
        <v>28</v>
      </c>
      <c r="L8" s="206" t="s">
        <v>344</v>
      </c>
      <c r="M8" s="206" t="s">
        <v>345</v>
      </c>
      <c r="N8" s="207">
        <f>E8*H8*K8</f>
        <v>1120000</v>
      </c>
      <c r="O8" s="208">
        <f>N8</f>
        <v>1120000</v>
      </c>
      <c r="P8" s="198"/>
    </row>
    <row r="9" spans="1:18" ht="22.5" customHeight="1" x14ac:dyDescent="0.15">
      <c r="A9" s="211"/>
      <c r="B9" s="212"/>
      <c r="C9" s="212"/>
      <c r="D9" s="202" t="s">
        <v>373</v>
      </c>
      <c r="E9" s="203">
        <v>500</v>
      </c>
      <c r="F9" s="204" t="s">
        <v>341</v>
      </c>
      <c r="G9" s="205" t="s">
        <v>342</v>
      </c>
      <c r="H9" s="205">
        <v>80</v>
      </c>
      <c r="I9" s="206" t="s">
        <v>343</v>
      </c>
      <c r="J9" s="206" t="s">
        <v>342</v>
      </c>
      <c r="K9" s="205">
        <v>31</v>
      </c>
      <c r="L9" s="206" t="s">
        <v>344</v>
      </c>
      <c r="M9" s="206" t="s">
        <v>345</v>
      </c>
      <c r="N9" s="207">
        <f>E9*H9*K9</f>
        <v>1240000</v>
      </c>
      <c r="O9" s="208">
        <f>N9</f>
        <v>1240000</v>
      </c>
      <c r="P9" s="198"/>
    </row>
    <row r="10" spans="1:18" ht="22.5" customHeight="1" x14ac:dyDescent="0.15">
      <c r="A10" s="209"/>
      <c r="B10" s="210"/>
      <c r="C10" s="210"/>
      <c r="D10" s="202" t="s">
        <v>374</v>
      </c>
      <c r="E10" s="203">
        <v>500</v>
      </c>
      <c r="F10" s="204" t="s">
        <v>341</v>
      </c>
      <c r="G10" s="205" t="s">
        <v>342</v>
      </c>
      <c r="H10" s="205">
        <v>80</v>
      </c>
      <c r="I10" s="206" t="s">
        <v>343</v>
      </c>
      <c r="J10" s="206" t="s">
        <v>342</v>
      </c>
      <c r="K10" s="205">
        <v>30</v>
      </c>
      <c r="L10" s="206" t="s">
        <v>344</v>
      </c>
      <c r="M10" s="206" t="s">
        <v>345</v>
      </c>
      <c r="N10" s="207">
        <f t="shared" ref="N10:N15" si="0">E10*H10*K10</f>
        <v>1200000</v>
      </c>
      <c r="O10" s="208">
        <f t="shared" ref="O10:O18" si="1">N10</f>
        <v>1200000</v>
      </c>
      <c r="P10" s="198"/>
    </row>
    <row r="11" spans="1:18" ht="22.5" customHeight="1" x14ac:dyDescent="0.15">
      <c r="A11" s="211"/>
      <c r="B11" s="212"/>
      <c r="C11" s="212"/>
      <c r="D11" s="202" t="s">
        <v>375</v>
      </c>
      <c r="E11" s="203">
        <v>500</v>
      </c>
      <c r="F11" s="204" t="s">
        <v>341</v>
      </c>
      <c r="G11" s="205" t="s">
        <v>342</v>
      </c>
      <c r="H11" s="205">
        <v>80</v>
      </c>
      <c r="I11" s="206" t="s">
        <v>343</v>
      </c>
      <c r="J11" s="206" t="s">
        <v>342</v>
      </c>
      <c r="K11" s="205">
        <v>31</v>
      </c>
      <c r="L11" s="206" t="s">
        <v>344</v>
      </c>
      <c r="M11" s="206" t="s">
        <v>345</v>
      </c>
      <c r="N11" s="207">
        <f t="shared" si="0"/>
        <v>1240000</v>
      </c>
      <c r="O11" s="208">
        <f t="shared" si="1"/>
        <v>1240000</v>
      </c>
      <c r="P11" s="198"/>
    </row>
    <row r="12" spans="1:18" ht="22.5" customHeight="1" x14ac:dyDescent="0.15">
      <c r="A12" s="211"/>
      <c r="B12" s="212"/>
      <c r="C12" s="212"/>
      <c r="D12" s="202" t="s">
        <v>376</v>
      </c>
      <c r="E12" s="203">
        <v>500</v>
      </c>
      <c r="F12" s="204" t="s">
        <v>341</v>
      </c>
      <c r="G12" s="205" t="s">
        <v>342</v>
      </c>
      <c r="H12" s="205">
        <v>80</v>
      </c>
      <c r="I12" s="206" t="s">
        <v>343</v>
      </c>
      <c r="J12" s="206" t="s">
        <v>342</v>
      </c>
      <c r="K12" s="205">
        <v>30</v>
      </c>
      <c r="L12" s="206" t="s">
        <v>344</v>
      </c>
      <c r="M12" s="206" t="s">
        <v>345</v>
      </c>
      <c r="N12" s="207">
        <f t="shared" si="0"/>
        <v>1200000</v>
      </c>
      <c r="O12" s="208">
        <f t="shared" si="1"/>
        <v>1200000</v>
      </c>
      <c r="P12" s="198"/>
    </row>
    <row r="13" spans="1:18" ht="22.5" customHeight="1" x14ac:dyDescent="0.15">
      <c r="A13" s="211"/>
      <c r="B13" s="212"/>
      <c r="C13" s="212"/>
      <c r="D13" s="202" t="s">
        <v>377</v>
      </c>
      <c r="E13" s="203">
        <v>500</v>
      </c>
      <c r="F13" s="204" t="s">
        <v>341</v>
      </c>
      <c r="G13" s="205" t="s">
        <v>342</v>
      </c>
      <c r="H13" s="205">
        <v>80</v>
      </c>
      <c r="I13" s="206" t="s">
        <v>343</v>
      </c>
      <c r="J13" s="206" t="s">
        <v>342</v>
      </c>
      <c r="K13" s="205">
        <v>31</v>
      </c>
      <c r="L13" s="206" t="s">
        <v>344</v>
      </c>
      <c r="M13" s="206" t="s">
        <v>345</v>
      </c>
      <c r="N13" s="207">
        <f t="shared" si="0"/>
        <v>1240000</v>
      </c>
      <c r="O13" s="208">
        <f t="shared" si="1"/>
        <v>1240000</v>
      </c>
      <c r="P13" s="198"/>
    </row>
    <row r="14" spans="1:18" ht="22.5" customHeight="1" x14ac:dyDescent="0.15">
      <c r="A14" s="211"/>
      <c r="B14" s="212"/>
      <c r="C14" s="212"/>
      <c r="D14" s="202" t="s">
        <v>378</v>
      </c>
      <c r="E14" s="203">
        <v>500</v>
      </c>
      <c r="F14" s="204" t="s">
        <v>341</v>
      </c>
      <c r="G14" s="205" t="s">
        <v>342</v>
      </c>
      <c r="H14" s="205">
        <v>80</v>
      </c>
      <c r="I14" s="206" t="s">
        <v>343</v>
      </c>
      <c r="J14" s="206" t="s">
        <v>342</v>
      </c>
      <c r="K14" s="205">
        <v>31</v>
      </c>
      <c r="L14" s="206" t="s">
        <v>344</v>
      </c>
      <c r="M14" s="206" t="s">
        <v>345</v>
      </c>
      <c r="N14" s="207">
        <f t="shared" si="0"/>
        <v>1240000</v>
      </c>
      <c r="O14" s="208">
        <f t="shared" si="1"/>
        <v>1240000</v>
      </c>
      <c r="P14" s="198"/>
    </row>
    <row r="15" spans="1:18" ht="22.5" customHeight="1" x14ac:dyDescent="0.15">
      <c r="A15" s="211"/>
      <c r="B15" s="212"/>
      <c r="C15" s="212"/>
      <c r="D15" s="202" t="s">
        <v>379</v>
      </c>
      <c r="E15" s="203">
        <v>500</v>
      </c>
      <c r="F15" s="204" t="s">
        <v>341</v>
      </c>
      <c r="G15" s="205" t="s">
        <v>342</v>
      </c>
      <c r="H15" s="205">
        <v>80</v>
      </c>
      <c r="I15" s="206" t="s">
        <v>343</v>
      </c>
      <c r="J15" s="206" t="s">
        <v>342</v>
      </c>
      <c r="K15" s="205">
        <v>30</v>
      </c>
      <c r="L15" s="206" t="s">
        <v>344</v>
      </c>
      <c r="M15" s="206" t="s">
        <v>345</v>
      </c>
      <c r="N15" s="207">
        <f t="shared" si="0"/>
        <v>1200000</v>
      </c>
      <c r="O15" s="208">
        <f t="shared" si="1"/>
        <v>1200000</v>
      </c>
      <c r="P15" s="198"/>
    </row>
    <row r="16" spans="1:18" ht="22.5" customHeight="1" x14ac:dyDescent="0.15">
      <c r="A16" s="211"/>
      <c r="B16" s="212"/>
      <c r="C16" s="212"/>
      <c r="D16" s="202" t="s">
        <v>380</v>
      </c>
      <c r="E16" s="203">
        <v>500</v>
      </c>
      <c r="F16" s="204" t="s">
        <v>341</v>
      </c>
      <c r="G16" s="205" t="s">
        <v>342</v>
      </c>
      <c r="H16" s="205">
        <v>80</v>
      </c>
      <c r="I16" s="206" t="s">
        <v>343</v>
      </c>
      <c r="J16" s="206" t="s">
        <v>342</v>
      </c>
      <c r="K16" s="205">
        <v>31</v>
      </c>
      <c r="L16" s="206" t="s">
        <v>344</v>
      </c>
      <c r="M16" s="206" t="s">
        <v>345</v>
      </c>
      <c r="N16" s="207">
        <f>E16*H16*K16</f>
        <v>1240000</v>
      </c>
      <c r="O16" s="208">
        <f t="shared" si="1"/>
        <v>1240000</v>
      </c>
      <c r="P16" s="198"/>
    </row>
    <row r="17" spans="1:16" ht="22.5" customHeight="1" x14ac:dyDescent="0.15">
      <c r="A17" s="211"/>
      <c r="B17" s="212"/>
      <c r="C17" s="212"/>
      <c r="D17" s="202" t="s">
        <v>381</v>
      </c>
      <c r="E17" s="203">
        <v>500</v>
      </c>
      <c r="F17" s="204" t="s">
        <v>341</v>
      </c>
      <c r="G17" s="205" t="s">
        <v>342</v>
      </c>
      <c r="H17" s="205">
        <v>80</v>
      </c>
      <c r="I17" s="206" t="s">
        <v>343</v>
      </c>
      <c r="J17" s="206" t="s">
        <v>342</v>
      </c>
      <c r="K17" s="205">
        <v>30</v>
      </c>
      <c r="L17" s="206" t="s">
        <v>344</v>
      </c>
      <c r="M17" s="206" t="s">
        <v>345</v>
      </c>
      <c r="N17" s="207">
        <f>E17*H17*K17</f>
        <v>1200000</v>
      </c>
      <c r="O17" s="208">
        <f t="shared" si="1"/>
        <v>1200000</v>
      </c>
      <c r="P17" s="198"/>
    </row>
    <row r="18" spans="1:16" ht="22.5" customHeight="1" x14ac:dyDescent="0.15">
      <c r="A18" s="213"/>
      <c r="B18" s="214"/>
      <c r="C18" s="214"/>
      <c r="D18" s="202" t="s">
        <v>382</v>
      </c>
      <c r="E18" s="203">
        <v>500</v>
      </c>
      <c r="F18" s="204" t="s">
        <v>341</v>
      </c>
      <c r="G18" s="205" t="s">
        <v>342</v>
      </c>
      <c r="H18" s="205">
        <v>80</v>
      </c>
      <c r="I18" s="206" t="s">
        <v>343</v>
      </c>
      <c r="J18" s="206" t="s">
        <v>342</v>
      </c>
      <c r="K18" s="205">
        <v>31</v>
      </c>
      <c r="L18" s="206" t="s">
        <v>344</v>
      </c>
      <c r="M18" s="206" t="s">
        <v>345</v>
      </c>
      <c r="N18" s="207">
        <f>E18*H18*K18</f>
        <v>1240000</v>
      </c>
      <c r="O18" s="208">
        <f t="shared" si="1"/>
        <v>1240000</v>
      </c>
      <c r="P18" s="198"/>
    </row>
    <row r="19" spans="1:16" ht="27.75" customHeight="1" x14ac:dyDescent="0.15">
      <c r="A19" s="195" t="s">
        <v>383</v>
      </c>
      <c r="B19" s="196" t="s">
        <v>383</v>
      </c>
      <c r="C19" s="196" t="s">
        <v>383</v>
      </c>
      <c r="D19" s="1501" t="s">
        <v>255</v>
      </c>
      <c r="E19" s="1510"/>
      <c r="F19" s="1510"/>
      <c r="G19" s="1510"/>
      <c r="H19" s="1510"/>
      <c r="I19" s="1510"/>
      <c r="J19" s="1510"/>
      <c r="K19" s="1510"/>
      <c r="L19" s="1510"/>
      <c r="M19" s="1510"/>
      <c r="N19" s="1511"/>
      <c r="O19" s="197">
        <f>SUM(O21:O32)</f>
        <v>4800000</v>
      </c>
      <c r="P19" s="198"/>
    </row>
    <row r="20" spans="1:16" ht="27.75" hidden="1" customHeight="1" x14ac:dyDescent="0.15">
      <c r="A20" s="215"/>
      <c r="B20" s="216"/>
      <c r="C20" s="217"/>
      <c r="D20" s="202" t="s">
        <v>364</v>
      </c>
      <c r="E20" s="203">
        <v>5000</v>
      </c>
      <c r="F20" s="204" t="s">
        <v>341</v>
      </c>
      <c r="G20" s="205" t="s">
        <v>342</v>
      </c>
      <c r="H20" s="205">
        <v>80</v>
      </c>
      <c r="I20" s="206" t="s">
        <v>343</v>
      </c>
      <c r="J20" s="206" t="s">
        <v>342</v>
      </c>
      <c r="K20" s="205">
        <v>12</v>
      </c>
      <c r="L20" s="206" t="s">
        <v>346</v>
      </c>
      <c r="M20" s="206" t="s">
        <v>345</v>
      </c>
      <c r="N20" s="207">
        <f>E20*H20*K20</f>
        <v>4800000</v>
      </c>
      <c r="O20" s="208">
        <f>N20</f>
        <v>4800000</v>
      </c>
      <c r="P20" s="198"/>
    </row>
    <row r="21" spans="1:16" ht="22.5" customHeight="1" x14ac:dyDescent="0.15">
      <c r="A21" s="209"/>
      <c r="B21" s="210"/>
      <c r="C21" s="210"/>
      <c r="D21" s="202" t="s">
        <v>371</v>
      </c>
      <c r="E21" s="203">
        <v>5000</v>
      </c>
      <c r="F21" s="204" t="s">
        <v>341</v>
      </c>
      <c r="G21" s="205" t="s">
        <v>342</v>
      </c>
      <c r="H21" s="205">
        <v>80</v>
      </c>
      <c r="I21" s="206" t="s">
        <v>343</v>
      </c>
      <c r="J21" s="206" t="s">
        <v>342</v>
      </c>
      <c r="K21" s="205">
        <v>1</v>
      </c>
      <c r="L21" s="206" t="s">
        <v>346</v>
      </c>
      <c r="M21" s="206" t="s">
        <v>345</v>
      </c>
      <c r="N21" s="207">
        <f>E21*H21*K21</f>
        <v>400000</v>
      </c>
      <c r="O21" s="208">
        <f>N21</f>
        <v>400000</v>
      </c>
      <c r="P21" s="198"/>
    </row>
    <row r="22" spans="1:16" ht="22.5" customHeight="1" x14ac:dyDescent="0.15">
      <c r="A22" s="211"/>
      <c r="B22" s="212"/>
      <c r="C22" s="212"/>
      <c r="D22" s="202" t="s">
        <v>372</v>
      </c>
      <c r="E22" s="203">
        <v>5000</v>
      </c>
      <c r="F22" s="204" t="s">
        <v>341</v>
      </c>
      <c r="G22" s="205" t="s">
        <v>342</v>
      </c>
      <c r="H22" s="205">
        <v>80</v>
      </c>
      <c r="I22" s="206" t="s">
        <v>343</v>
      </c>
      <c r="J22" s="206" t="s">
        <v>342</v>
      </c>
      <c r="K22" s="205">
        <v>1</v>
      </c>
      <c r="L22" s="206" t="s">
        <v>346</v>
      </c>
      <c r="M22" s="206" t="s">
        <v>345</v>
      </c>
      <c r="N22" s="207">
        <f>E22*H22*K22</f>
        <v>400000</v>
      </c>
      <c r="O22" s="208">
        <f>N22</f>
        <v>400000</v>
      </c>
      <c r="P22" s="198"/>
    </row>
    <row r="23" spans="1:16" ht="22.5" customHeight="1" x14ac:dyDescent="0.15">
      <c r="A23" s="211"/>
      <c r="B23" s="212"/>
      <c r="C23" s="212"/>
      <c r="D23" s="202" t="s">
        <v>373</v>
      </c>
      <c r="E23" s="203">
        <v>5000</v>
      </c>
      <c r="F23" s="204" t="s">
        <v>341</v>
      </c>
      <c r="G23" s="205" t="s">
        <v>342</v>
      </c>
      <c r="H23" s="205">
        <v>80</v>
      </c>
      <c r="I23" s="206" t="s">
        <v>343</v>
      </c>
      <c r="J23" s="206" t="s">
        <v>342</v>
      </c>
      <c r="K23" s="205">
        <v>1</v>
      </c>
      <c r="L23" s="206" t="s">
        <v>346</v>
      </c>
      <c r="M23" s="206" t="s">
        <v>345</v>
      </c>
      <c r="N23" s="207">
        <f>E23*H23*K23</f>
        <v>400000</v>
      </c>
      <c r="O23" s="208">
        <f>N23</f>
        <v>400000</v>
      </c>
      <c r="P23" s="198"/>
    </row>
    <row r="24" spans="1:16" ht="22.5" customHeight="1" x14ac:dyDescent="0.15">
      <c r="A24" s="209"/>
      <c r="B24" s="210"/>
      <c r="C24" s="210"/>
      <c r="D24" s="202" t="s">
        <v>374</v>
      </c>
      <c r="E24" s="203">
        <v>5000</v>
      </c>
      <c r="F24" s="204" t="s">
        <v>341</v>
      </c>
      <c r="G24" s="205" t="s">
        <v>342</v>
      </c>
      <c r="H24" s="205">
        <v>80</v>
      </c>
      <c r="I24" s="206" t="s">
        <v>343</v>
      </c>
      <c r="J24" s="206" t="s">
        <v>342</v>
      </c>
      <c r="K24" s="205">
        <v>1</v>
      </c>
      <c r="L24" s="206" t="s">
        <v>346</v>
      </c>
      <c r="M24" s="206" t="s">
        <v>345</v>
      </c>
      <c r="N24" s="207">
        <f t="shared" ref="N24:N29" si="2">E24*H24*K24</f>
        <v>400000</v>
      </c>
      <c r="O24" s="208">
        <f t="shared" ref="O24:O32" si="3">N24</f>
        <v>400000</v>
      </c>
      <c r="P24" s="198"/>
    </row>
    <row r="25" spans="1:16" ht="22.5" customHeight="1" x14ac:dyDescent="0.15">
      <c r="A25" s="211"/>
      <c r="B25" s="212"/>
      <c r="C25" s="212"/>
      <c r="D25" s="202" t="s">
        <v>375</v>
      </c>
      <c r="E25" s="203">
        <v>5000</v>
      </c>
      <c r="F25" s="204" t="s">
        <v>341</v>
      </c>
      <c r="G25" s="205" t="s">
        <v>342</v>
      </c>
      <c r="H25" s="205">
        <v>80</v>
      </c>
      <c r="I25" s="206" t="s">
        <v>343</v>
      </c>
      <c r="J25" s="206" t="s">
        <v>342</v>
      </c>
      <c r="K25" s="205">
        <v>1</v>
      </c>
      <c r="L25" s="206" t="s">
        <v>346</v>
      </c>
      <c r="M25" s="206" t="s">
        <v>345</v>
      </c>
      <c r="N25" s="207">
        <f t="shared" si="2"/>
        <v>400000</v>
      </c>
      <c r="O25" s="208">
        <f t="shared" si="3"/>
        <v>400000</v>
      </c>
      <c r="P25" s="198"/>
    </row>
    <row r="26" spans="1:16" ht="22.5" customHeight="1" x14ac:dyDescent="0.15">
      <c r="A26" s="211"/>
      <c r="B26" s="212"/>
      <c r="C26" s="212"/>
      <c r="D26" s="202" t="s">
        <v>376</v>
      </c>
      <c r="E26" s="203">
        <v>5000</v>
      </c>
      <c r="F26" s="204" t="s">
        <v>341</v>
      </c>
      <c r="G26" s="205" t="s">
        <v>342</v>
      </c>
      <c r="H26" s="205">
        <v>80</v>
      </c>
      <c r="I26" s="206" t="s">
        <v>343</v>
      </c>
      <c r="J26" s="206" t="s">
        <v>342</v>
      </c>
      <c r="K26" s="205">
        <v>1</v>
      </c>
      <c r="L26" s="206" t="s">
        <v>346</v>
      </c>
      <c r="M26" s="206" t="s">
        <v>345</v>
      </c>
      <c r="N26" s="207">
        <f t="shared" si="2"/>
        <v>400000</v>
      </c>
      <c r="O26" s="208">
        <f t="shared" si="3"/>
        <v>400000</v>
      </c>
      <c r="P26" s="198"/>
    </row>
    <row r="27" spans="1:16" ht="22.5" customHeight="1" x14ac:dyDescent="0.15">
      <c r="A27" s="211"/>
      <c r="B27" s="212"/>
      <c r="C27" s="212"/>
      <c r="D27" s="202" t="s">
        <v>377</v>
      </c>
      <c r="E27" s="203">
        <v>5000</v>
      </c>
      <c r="F27" s="204" t="s">
        <v>341</v>
      </c>
      <c r="G27" s="205" t="s">
        <v>342</v>
      </c>
      <c r="H27" s="205">
        <v>80</v>
      </c>
      <c r="I27" s="206" t="s">
        <v>343</v>
      </c>
      <c r="J27" s="206" t="s">
        <v>342</v>
      </c>
      <c r="K27" s="205">
        <v>1</v>
      </c>
      <c r="L27" s="206" t="s">
        <v>346</v>
      </c>
      <c r="M27" s="206" t="s">
        <v>345</v>
      </c>
      <c r="N27" s="207">
        <f t="shared" si="2"/>
        <v>400000</v>
      </c>
      <c r="O27" s="208">
        <f t="shared" si="3"/>
        <v>400000</v>
      </c>
      <c r="P27" s="198"/>
    </row>
    <row r="28" spans="1:16" ht="22.5" customHeight="1" x14ac:dyDescent="0.15">
      <c r="A28" s="211"/>
      <c r="B28" s="212"/>
      <c r="C28" s="212"/>
      <c r="D28" s="202" t="s">
        <v>378</v>
      </c>
      <c r="E28" s="203">
        <v>5000</v>
      </c>
      <c r="F28" s="204" t="s">
        <v>341</v>
      </c>
      <c r="G28" s="205" t="s">
        <v>342</v>
      </c>
      <c r="H28" s="205">
        <v>80</v>
      </c>
      <c r="I28" s="206" t="s">
        <v>343</v>
      </c>
      <c r="J28" s="206" t="s">
        <v>342</v>
      </c>
      <c r="K28" s="205">
        <v>1</v>
      </c>
      <c r="L28" s="206" t="s">
        <v>346</v>
      </c>
      <c r="M28" s="206" t="s">
        <v>345</v>
      </c>
      <c r="N28" s="207">
        <f t="shared" si="2"/>
        <v>400000</v>
      </c>
      <c r="O28" s="208">
        <f t="shared" si="3"/>
        <v>400000</v>
      </c>
      <c r="P28" s="198"/>
    </row>
    <row r="29" spans="1:16" ht="22.5" customHeight="1" x14ac:dyDescent="0.15">
      <c r="A29" s="211"/>
      <c r="B29" s="212"/>
      <c r="C29" s="212"/>
      <c r="D29" s="202" t="s">
        <v>379</v>
      </c>
      <c r="E29" s="203">
        <v>5000</v>
      </c>
      <c r="F29" s="204" t="s">
        <v>341</v>
      </c>
      <c r="G29" s="205" t="s">
        <v>342</v>
      </c>
      <c r="H29" s="205">
        <v>80</v>
      </c>
      <c r="I29" s="206" t="s">
        <v>343</v>
      </c>
      <c r="J29" s="206" t="s">
        <v>342</v>
      </c>
      <c r="K29" s="205">
        <v>1</v>
      </c>
      <c r="L29" s="206" t="s">
        <v>346</v>
      </c>
      <c r="M29" s="206" t="s">
        <v>345</v>
      </c>
      <c r="N29" s="207">
        <f t="shared" si="2"/>
        <v>400000</v>
      </c>
      <c r="O29" s="208">
        <f t="shared" si="3"/>
        <v>400000</v>
      </c>
      <c r="P29" s="198"/>
    </row>
    <row r="30" spans="1:16" ht="22.5" customHeight="1" x14ac:dyDescent="0.15">
      <c r="A30" s="218"/>
      <c r="B30" s="212"/>
      <c r="C30" s="219"/>
      <c r="D30" s="202" t="s">
        <v>380</v>
      </c>
      <c r="E30" s="203">
        <v>5000</v>
      </c>
      <c r="F30" s="204" t="s">
        <v>341</v>
      </c>
      <c r="G30" s="205" t="s">
        <v>342</v>
      </c>
      <c r="H30" s="205">
        <v>80</v>
      </c>
      <c r="I30" s="206" t="s">
        <v>343</v>
      </c>
      <c r="J30" s="206" t="s">
        <v>342</v>
      </c>
      <c r="K30" s="205">
        <v>1</v>
      </c>
      <c r="L30" s="206" t="s">
        <v>346</v>
      </c>
      <c r="M30" s="206" t="s">
        <v>345</v>
      </c>
      <c r="N30" s="207">
        <f>E30*H30*K30</f>
        <v>400000</v>
      </c>
      <c r="O30" s="208">
        <f t="shared" si="3"/>
        <v>400000</v>
      </c>
      <c r="P30" s="198"/>
    </row>
    <row r="31" spans="1:16" ht="22.5" customHeight="1" x14ac:dyDescent="0.15">
      <c r="A31" s="218"/>
      <c r="B31" s="212"/>
      <c r="C31" s="219"/>
      <c r="D31" s="202" t="s">
        <v>381</v>
      </c>
      <c r="E31" s="203">
        <v>5000</v>
      </c>
      <c r="F31" s="204" t="s">
        <v>341</v>
      </c>
      <c r="G31" s="205" t="s">
        <v>342</v>
      </c>
      <c r="H31" s="205">
        <v>80</v>
      </c>
      <c r="I31" s="206" t="s">
        <v>343</v>
      </c>
      <c r="J31" s="206" t="s">
        <v>342</v>
      </c>
      <c r="K31" s="205">
        <v>1</v>
      </c>
      <c r="L31" s="206" t="s">
        <v>346</v>
      </c>
      <c r="M31" s="206" t="s">
        <v>345</v>
      </c>
      <c r="N31" s="207">
        <f>E31*H31*K31</f>
        <v>400000</v>
      </c>
      <c r="O31" s="208">
        <f t="shared" si="3"/>
        <v>400000</v>
      </c>
      <c r="P31" s="198"/>
    </row>
    <row r="32" spans="1:16" ht="22.5" customHeight="1" x14ac:dyDescent="0.15">
      <c r="A32" s="220"/>
      <c r="B32" s="214"/>
      <c r="C32" s="221"/>
      <c r="D32" s="202" t="s">
        <v>382</v>
      </c>
      <c r="E32" s="203">
        <v>5000</v>
      </c>
      <c r="F32" s="204" t="s">
        <v>341</v>
      </c>
      <c r="G32" s="205" t="s">
        <v>342</v>
      </c>
      <c r="H32" s="205">
        <v>80</v>
      </c>
      <c r="I32" s="206" t="s">
        <v>343</v>
      </c>
      <c r="J32" s="206" t="s">
        <v>342</v>
      </c>
      <c r="K32" s="205">
        <v>1</v>
      </c>
      <c r="L32" s="206" t="s">
        <v>346</v>
      </c>
      <c r="M32" s="206" t="s">
        <v>345</v>
      </c>
      <c r="N32" s="207">
        <f>E32*H32*K32</f>
        <v>400000</v>
      </c>
      <c r="O32" s="208">
        <f t="shared" si="3"/>
        <v>400000</v>
      </c>
      <c r="P32" s="198"/>
    </row>
    <row r="33" spans="1:16" ht="27.75" customHeight="1" x14ac:dyDescent="0.15">
      <c r="A33" s="222" t="s">
        <v>384</v>
      </c>
      <c r="B33" s="223" t="s">
        <v>384</v>
      </c>
      <c r="C33" s="224" t="s">
        <v>384</v>
      </c>
      <c r="D33" s="1501" t="s">
        <v>255</v>
      </c>
      <c r="E33" s="1510"/>
      <c r="F33" s="1510"/>
      <c r="G33" s="1510"/>
      <c r="H33" s="1510"/>
      <c r="I33" s="1510"/>
      <c r="J33" s="1510"/>
      <c r="K33" s="1510"/>
      <c r="L33" s="1510"/>
      <c r="M33" s="1510"/>
      <c r="N33" s="1511"/>
      <c r="O33" s="197">
        <f>SUM(O36:O39)</f>
        <v>10240000</v>
      </c>
      <c r="P33" s="198"/>
    </row>
    <row r="34" spans="1:16" ht="27.75" customHeight="1" x14ac:dyDescent="0.15">
      <c r="A34" s="225"/>
      <c r="B34" s="226"/>
      <c r="C34" s="227"/>
      <c r="D34" s="202" t="s">
        <v>288</v>
      </c>
      <c r="E34" s="203">
        <v>20000</v>
      </c>
      <c r="F34" s="204" t="s">
        <v>341</v>
      </c>
      <c r="G34" s="205" t="s">
        <v>342</v>
      </c>
      <c r="H34" s="205">
        <v>80</v>
      </c>
      <c r="I34" s="206" t="s">
        <v>343</v>
      </c>
      <c r="J34" s="206" t="s">
        <v>342</v>
      </c>
      <c r="K34" s="205">
        <v>4</v>
      </c>
      <c r="L34" s="206" t="s">
        <v>348</v>
      </c>
      <c r="M34" s="206" t="s">
        <v>345</v>
      </c>
      <c r="N34" s="207">
        <f t="shared" ref="N34:N39" si="4">E34*H34*K34</f>
        <v>6400000</v>
      </c>
      <c r="O34" s="208">
        <f t="shared" ref="O34:O39" si="5">N34</f>
        <v>6400000</v>
      </c>
      <c r="P34" s="198"/>
    </row>
    <row r="35" spans="1:16" ht="27.75" customHeight="1" x14ac:dyDescent="0.15">
      <c r="A35" s="225"/>
      <c r="B35" s="226"/>
      <c r="C35" s="227"/>
      <c r="D35" s="228" t="s">
        <v>385</v>
      </c>
      <c r="E35" s="203">
        <v>12000</v>
      </c>
      <c r="F35" s="204" t="s">
        <v>341</v>
      </c>
      <c r="G35" s="205" t="s">
        <v>342</v>
      </c>
      <c r="H35" s="205">
        <v>80</v>
      </c>
      <c r="I35" s="206" t="s">
        <v>343</v>
      </c>
      <c r="J35" s="206" t="s">
        <v>342</v>
      </c>
      <c r="K35" s="205">
        <v>4</v>
      </c>
      <c r="L35" s="206" t="s">
        <v>348</v>
      </c>
      <c r="M35" s="206" t="s">
        <v>345</v>
      </c>
      <c r="N35" s="207">
        <f t="shared" si="4"/>
        <v>3840000</v>
      </c>
      <c r="O35" s="208">
        <f t="shared" si="5"/>
        <v>3840000</v>
      </c>
      <c r="P35" s="198"/>
    </row>
    <row r="36" spans="1:16" ht="22.5" hidden="1" customHeight="1" x14ac:dyDescent="0.15">
      <c r="A36" s="195"/>
      <c r="B36" s="196"/>
      <c r="C36" s="196"/>
      <c r="D36" s="202" t="s">
        <v>386</v>
      </c>
      <c r="E36" s="203">
        <v>32000</v>
      </c>
      <c r="F36" s="204" t="s">
        <v>341</v>
      </c>
      <c r="G36" s="205" t="s">
        <v>342</v>
      </c>
      <c r="H36" s="205">
        <v>80</v>
      </c>
      <c r="I36" s="206" t="s">
        <v>343</v>
      </c>
      <c r="J36" s="206" t="s">
        <v>342</v>
      </c>
      <c r="K36" s="205">
        <v>1</v>
      </c>
      <c r="L36" s="206" t="s">
        <v>348</v>
      </c>
      <c r="M36" s="206" t="s">
        <v>345</v>
      </c>
      <c r="N36" s="207">
        <f t="shared" si="4"/>
        <v>2560000</v>
      </c>
      <c r="O36" s="208">
        <f t="shared" si="5"/>
        <v>2560000</v>
      </c>
      <c r="P36" s="198"/>
    </row>
    <row r="37" spans="1:16" ht="22.5" hidden="1" customHeight="1" x14ac:dyDescent="0.15">
      <c r="A37" s="195"/>
      <c r="B37" s="196"/>
      <c r="C37" s="196"/>
      <c r="D37" s="228" t="s">
        <v>387</v>
      </c>
      <c r="E37" s="203">
        <v>32000</v>
      </c>
      <c r="F37" s="204" t="s">
        <v>341</v>
      </c>
      <c r="G37" s="205" t="s">
        <v>342</v>
      </c>
      <c r="H37" s="205">
        <v>80</v>
      </c>
      <c r="I37" s="206" t="s">
        <v>343</v>
      </c>
      <c r="J37" s="206" t="s">
        <v>342</v>
      </c>
      <c r="K37" s="205">
        <v>1</v>
      </c>
      <c r="L37" s="206" t="s">
        <v>348</v>
      </c>
      <c r="M37" s="206" t="s">
        <v>345</v>
      </c>
      <c r="N37" s="207">
        <f t="shared" si="4"/>
        <v>2560000</v>
      </c>
      <c r="O37" s="208">
        <f t="shared" si="5"/>
        <v>2560000</v>
      </c>
      <c r="P37" s="198"/>
    </row>
    <row r="38" spans="1:16" ht="22.5" hidden="1" customHeight="1" x14ac:dyDescent="0.15">
      <c r="A38" s="195"/>
      <c r="B38" s="196"/>
      <c r="C38" s="196"/>
      <c r="D38" s="202" t="s">
        <v>388</v>
      </c>
      <c r="E38" s="203">
        <v>32000</v>
      </c>
      <c r="F38" s="204" t="s">
        <v>341</v>
      </c>
      <c r="G38" s="205" t="s">
        <v>342</v>
      </c>
      <c r="H38" s="205">
        <v>80</v>
      </c>
      <c r="I38" s="206" t="s">
        <v>343</v>
      </c>
      <c r="J38" s="206" t="s">
        <v>342</v>
      </c>
      <c r="K38" s="205">
        <v>1</v>
      </c>
      <c r="L38" s="206" t="s">
        <v>348</v>
      </c>
      <c r="M38" s="206" t="s">
        <v>345</v>
      </c>
      <c r="N38" s="207">
        <f t="shared" si="4"/>
        <v>2560000</v>
      </c>
      <c r="O38" s="208">
        <f t="shared" si="5"/>
        <v>2560000</v>
      </c>
      <c r="P38" s="198"/>
    </row>
    <row r="39" spans="1:16" ht="22.5" hidden="1" customHeight="1" x14ac:dyDescent="0.15">
      <c r="A39" s="195"/>
      <c r="B39" s="196"/>
      <c r="C39" s="196"/>
      <c r="D39" s="202" t="s">
        <v>389</v>
      </c>
      <c r="E39" s="203">
        <v>32000</v>
      </c>
      <c r="F39" s="204" t="s">
        <v>341</v>
      </c>
      <c r="G39" s="205" t="s">
        <v>342</v>
      </c>
      <c r="H39" s="205">
        <v>80</v>
      </c>
      <c r="I39" s="206" t="s">
        <v>343</v>
      </c>
      <c r="J39" s="206" t="s">
        <v>342</v>
      </c>
      <c r="K39" s="205">
        <v>1</v>
      </c>
      <c r="L39" s="206" t="s">
        <v>348</v>
      </c>
      <c r="M39" s="206" t="s">
        <v>345</v>
      </c>
      <c r="N39" s="207">
        <f t="shared" si="4"/>
        <v>2560000</v>
      </c>
      <c r="O39" s="208">
        <f t="shared" si="5"/>
        <v>2560000</v>
      </c>
      <c r="P39" s="198"/>
    </row>
    <row r="40" spans="1:16" ht="27.75" customHeight="1" x14ac:dyDescent="0.15">
      <c r="A40" s="229" t="s">
        <v>390</v>
      </c>
      <c r="B40" s="230" t="s">
        <v>390</v>
      </c>
      <c r="C40" s="230" t="s">
        <v>390</v>
      </c>
      <c r="D40" s="1501" t="s">
        <v>255</v>
      </c>
      <c r="E40" s="1502"/>
      <c r="F40" s="1502"/>
      <c r="G40" s="1502"/>
      <c r="H40" s="1502"/>
      <c r="I40" s="1502"/>
      <c r="J40" s="1502"/>
      <c r="K40" s="1502"/>
      <c r="L40" s="1502"/>
      <c r="M40" s="1502"/>
      <c r="N40" s="1503"/>
      <c r="O40" s="197">
        <f>O41</f>
        <v>3200000</v>
      </c>
      <c r="P40" s="198"/>
    </row>
    <row r="41" spans="1:16" ht="22.5" customHeight="1" x14ac:dyDescent="0.15">
      <c r="A41" s="231"/>
      <c r="B41" s="232"/>
      <c r="C41" s="233"/>
      <c r="D41" s="234" t="s">
        <v>391</v>
      </c>
      <c r="E41" s="235">
        <v>40000</v>
      </c>
      <c r="F41" s="236" t="s">
        <v>341</v>
      </c>
      <c r="G41" s="237" t="s">
        <v>342</v>
      </c>
      <c r="H41" s="237">
        <v>80</v>
      </c>
      <c r="I41" s="238" t="s">
        <v>343</v>
      </c>
      <c r="J41" s="238" t="s">
        <v>342</v>
      </c>
      <c r="K41" s="237">
        <v>1</v>
      </c>
      <c r="L41" s="238" t="s">
        <v>348</v>
      </c>
      <c r="M41" s="238" t="s">
        <v>345</v>
      </c>
      <c r="N41" s="239">
        <f>E41*H41*K41</f>
        <v>3200000</v>
      </c>
      <c r="O41" s="240">
        <f>N41</f>
        <v>3200000</v>
      </c>
      <c r="P41" s="241"/>
    </row>
    <row r="67" spans="5:5" hidden="1" x14ac:dyDescent="0.15">
      <c r="E67" s="171">
        <v>0</v>
      </c>
    </row>
    <row r="73" spans="5:5" hidden="1" x14ac:dyDescent="0.15"/>
  </sheetData>
  <mergeCells count="7">
    <mergeCell ref="D40:N40"/>
    <mergeCell ref="A1:P1"/>
    <mergeCell ref="D3:N3"/>
    <mergeCell ref="A4:N4"/>
    <mergeCell ref="D5:N5"/>
    <mergeCell ref="D19:N19"/>
    <mergeCell ref="D33:N3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topLeftCell="A22" workbookViewId="0">
      <selection activeCell="F15" sqref="F15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13" style="378" customWidth="1"/>
    <col min="18" max="18" width="3.625" style="381" customWidth="1"/>
    <col min="19" max="19" width="10" style="378" customWidth="1"/>
    <col min="20" max="20" width="13" style="12" customWidth="1"/>
    <col min="21" max="21" width="14.125" style="378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433</v>
      </c>
      <c r="B1" s="288"/>
      <c r="C1" s="319"/>
      <c r="D1" s="320"/>
      <c r="G1" s="321"/>
      <c r="T1" s="6"/>
    </row>
    <row r="2" spans="1:37" s="29" customFormat="1" ht="16.5" customHeight="1" x14ac:dyDescent="0.15">
      <c r="A2" s="1560" t="s">
        <v>434</v>
      </c>
      <c r="B2" s="1560"/>
      <c r="C2" s="1560"/>
      <c r="D2" s="1560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23"/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561" t="s">
        <v>244</v>
      </c>
      <c r="R3" s="1561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562" t="s">
        <v>247</v>
      </c>
      <c r="B4" s="1563"/>
      <c r="C4" s="1563"/>
      <c r="D4" s="1564"/>
      <c r="E4" s="1565" t="str">
        <f>'[1]다-3.후원금세입'!D4:D5</f>
        <v>당초예산
( A )</v>
      </c>
      <c r="F4" s="1567" t="str">
        <f>'[1]다-3.후원금세입'!E4:E5</f>
        <v>1차추경
( B )</v>
      </c>
      <c r="G4" s="1569" t="s">
        <v>406</v>
      </c>
      <c r="H4" s="1569"/>
      <c r="I4" s="1570" t="s">
        <v>435</v>
      </c>
      <c r="J4" s="1571"/>
      <c r="K4" s="1571"/>
      <c r="L4" s="1571"/>
      <c r="M4" s="1571"/>
      <c r="N4" s="1571"/>
      <c r="O4" s="1571"/>
      <c r="P4" s="1571"/>
      <c r="Q4" s="1571"/>
      <c r="R4" s="1572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428</v>
      </c>
      <c r="E5" s="1566"/>
      <c r="F5" s="1568"/>
      <c r="G5" s="250" t="s">
        <v>251</v>
      </c>
      <c r="H5" s="251" t="s">
        <v>252</v>
      </c>
      <c r="I5" s="1573"/>
      <c r="J5" s="1574"/>
      <c r="K5" s="1574"/>
      <c r="L5" s="1574"/>
      <c r="M5" s="1574"/>
      <c r="N5" s="1574"/>
      <c r="O5" s="1574"/>
      <c r="P5" s="1574"/>
      <c r="Q5" s="1574"/>
      <c r="R5" s="1575"/>
      <c r="T5" s="9" t="s">
        <v>436</v>
      </c>
      <c r="U5" s="327" t="s">
        <v>437</v>
      </c>
    </row>
    <row r="6" spans="1:37" s="21" customFormat="1" ht="40.5" customHeight="1" thickTop="1" x14ac:dyDescent="0.15">
      <c r="A6" s="1576" t="s">
        <v>438</v>
      </c>
      <c r="B6" s="1577"/>
      <c r="C6" s="1577"/>
      <c r="D6" s="328"/>
      <c r="E6" s="329">
        <v>2415800000</v>
      </c>
      <c r="F6" s="329">
        <f>F7+F36+F41+F56+F59</f>
        <v>3162463760</v>
      </c>
      <c r="G6" s="330">
        <f t="shared" ref="G6:G13" si="0">F6-E6</f>
        <v>746663760</v>
      </c>
      <c r="H6" s="331">
        <f t="shared" ref="H6:H52" si="1">G6/E6*100</f>
        <v>30.907515522808183</v>
      </c>
      <c r="I6" s="1578" t="s">
        <v>640</v>
      </c>
      <c r="J6" s="1579"/>
      <c r="K6" s="1579"/>
      <c r="L6" s="1579"/>
      <c r="M6" s="1579"/>
      <c r="N6" s="1579"/>
      <c r="O6" s="1579"/>
      <c r="P6" s="1579"/>
      <c r="Q6" s="1579"/>
      <c r="R6" s="1580"/>
      <c r="T6" s="10">
        <f>(68580000)+(31750000)</f>
        <v>100330000</v>
      </c>
      <c r="U6" s="332">
        <f>68580000+31115000</f>
        <v>99695000</v>
      </c>
      <c r="V6" s="333">
        <f>T6-U6</f>
        <v>635000</v>
      </c>
    </row>
    <row r="7" spans="1:37" s="22" customFormat="1" ht="21.75" customHeight="1" x14ac:dyDescent="0.15">
      <c r="A7" s="256" t="s">
        <v>256</v>
      </c>
      <c r="B7" s="1581" t="s">
        <v>255</v>
      </c>
      <c r="C7" s="1582"/>
      <c r="D7" s="334"/>
      <c r="E7" s="335">
        <v>2212619880</v>
      </c>
      <c r="F7" s="335">
        <f>F8+F22+F26</f>
        <v>2965625760</v>
      </c>
      <c r="G7" s="242">
        <f t="shared" si="0"/>
        <v>753005880</v>
      </c>
      <c r="H7" s="336">
        <f t="shared" si="1"/>
        <v>34.032320092866563</v>
      </c>
      <c r="I7" s="1555" t="s">
        <v>439</v>
      </c>
      <c r="J7" s="1583"/>
      <c r="K7" s="1583"/>
      <c r="L7" s="1583"/>
      <c r="M7" s="1583"/>
      <c r="N7" s="1583"/>
      <c r="O7" s="1583"/>
      <c r="P7" s="1583"/>
      <c r="Q7" s="337">
        <f>68580000+31750000</f>
        <v>100330000</v>
      </c>
      <c r="R7" s="338" t="s">
        <v>341</v>
      </c>
      <c r="T7" s="11">
        <f>SUM(F22,F27,F28,F29,F30,F31,F32,F33,F34,F37,F48,F49,F51)</f>
        <v>100330000</v>
      </c>
      <c r="U7" s="11"/>
    </row>
    <row r="8" spans="1:37" s="22" customFormat="1" ht="21.75" customHeight="1" x14ac:dyDescent="0.15">
      <c r="A8" s="259"/>
      <c r="B8" s="301" t="s">
        <v>259</v>
      </c>
      <c r="C8" s="245" t="s">
        <v>258</v>
      </c>
      <c r="D8" s="245"/>
      <c r="E8" s="339">
        <v>2153919880</v>
      </c>
      <c r="F8" s="339">
        <f>F9+F10+F16+F21+F15</f>
        <v>2909295760</v>
      </c>
      <c r="G8" s="242">
        <f t="shared" si="0"/>
        <v>755375880</v>
      </c>
      <c r="H8" s="340">
        <f t="shared" si="1"/>
        <v>35.069822559973773</v>
      </c>
      <c r="I8" s="1537"/>
      <c r="J8" s="1532"/>
      <c r="K8" s="1532"/>
      <c r="L8" s="1532"/>
      <c r="M8" s="1532"/>
      <c r="N8" s="1532"/>
      <c r="O8" s="1532"/>
      <c r="P8" s="1532"/>
      <c r="Q8" s="1532"/>
      <c r="R8" s="1533"/>
      <c r="T8" s="11">
        <f>T6-T7</f>
        <v>0</v>
      </c>
    </row>
    <row r="9" spans="1:37" s="22" customFormat="1" ht="21.75" customHeight="1" x14ac:dyDescent="0.15">
      <c r="A9" s="268"/>
      <c r="B9" s="341"/>
      <c r="C9" s="245" t="s">
        <v>74</v>
      </c>
      <c r="D9" s="245"/>
      <c r="E9" s="339">
        <v>1391304000</v>
      </c>
      <c r="F9" s="339">
        <f>'사. 임직원보수 일람표'!I103+'아-1 교대인력지원인건비'!I29</f>
        <v>1837218000</v>
      </c>
      <c r="G9" s="242">
        <f t="shared" si="0"/>
        <v>445914000</v>
      </c>
      <c r="H9" s="340">
        <f t="shared" si="1"/>
        <v>32.05007676251919</v>
      </c>
      <c r="I9" s="1537" t="s">
        <v>440</v>
      </c>
      <c r="J9" s="1532"/>
      <c r="K9" s="1532"/>
      <c r="L9" s="1532"/>
      <c r="M9" s="1532"/>
      <c r="N9" s="1532"/>
      <c r="O9" s="1532"/>
      <c r="P9" s="1532"/>
      <c r="Q9" s="1532"/>
      <c r="R9" s="342"/>
      <c r="T9" s="11"/>
    </row>
    <row r="10" spans="1:37" s="22" customFormat="1" ht="21.75" customHeight="1" x14ac:dyDescent="0.15">
      <c r="A10" s="268"/>
      <c r="B10" s="273"/>
      <c r="C10" s="245" t="s">
        <v>62</v>
      </c>
      <c r="D10" s="245" t="s">
        <v>258</v>
      </c>
      <c r="E10" s="335">
        <v>433361280</v>
      </c>
      <c r="F10" s="335">
        <f>SUM(F11:F13)</f>
        <v>610567400</v>
      </c>
      <c r="G10" s="242">
        <f t="shared" si="0"/>
        <v>177206120</v>
      </c>
      <c r="H10" s="340">
        <f t="shared" si="1"/>
        <v>40.891082839703628</v>
      </c>
      <c r="I10" s="1555"/>
      <c r="J10" s="1556"/>
      <c r="K10" s="1556"/>
      <c r="L10" s="1556"/>
      <c r="M10" s="1556"/>
      <c r="N10" s="1556"/>
      <c r="O10" s="1556"/>
      <c r="P10" s="1556"/>
      <c r="Q10" s="1556"/>
      <c r="R10" s="343"/>
      <c r="T10" s="11"/>
    </row>
    <row r="11" spans="1:37" s="22" customFormat="1" ht="21" customHeight="1" x14ac:dyDescent="0.15">
      <c r="A11" s="268"/>
      <c r="B11" s="273"/>
      <c r="C11" s="273"/>
      <c r="D11" s="301" t="s">
        <v>441</v>
      </c>
      <c r="E11" s="339">
        <v>134188200</v>
      </c>
      <c r="F11" s="339">
        <f>'사. 임직원보수 일람표'!J103+'아-1 교대인력지원인건비'!J29</f>
        <v>180427800</v>
      </c>
      <c r="G11" s="242">
        <f t="shared" si="0"/>
        <v>46239600</v>
      </c>
      <c r="H11" s="340">
        <f t="shared" si="1"/>
        <v>34.45876761145913</v>
      </c>
      <c r="I11" s="1537"/>
      <c r="J11" s="1532"/>
      <c r="K11" s="1532"/>
      <c r="L11" s="1532"/>
      <c r="M11" s="1532"/>
      <c r="N11" s="1532"/>
      <c r="O11" s="1532"/>
      <c r="P11" s="1532"/>
      <c r="Q11" s="1532"/>
      <c r="R11" s="342"/>
      <c r="T11" s="11"/>
    </row>
    <row r="12" spans="1:37" s="22" customFormat="1" ht="21" customHeight="1" x14ac:dyDescent="0.15">
      <c r="A12" s="268"/>
      <c r="B12" s="273"/>
      <c r="C12" s="273"/>
      <c r="D12" s="291" t="s">
        <v>442</v>
      </c>
      <c r="E12" s="339">
        <v>277853080</v>
      </c>
      <c r="F12" s="339">
        <f>'사. 임직원보수 일람표'!M103+'아-1 교대인력지원인건비'!M29</f>
        <v>406379600</v>
      </c>
      <c r="G12" s="242">
        <f t="shared" si="0"/>
        <v>128526520</v>
      </c>
      <c r="H12" s="340">
        <f t="shared" si="1"/>
        <v>46.257007480356165</v>
      </c>
      <c r="I12" s="1537"/>
      <c r="J12" s="1532"/>
      <c r="K12" s="1532"/>
      <c r="L12" s="1532"/>
      <c r="M12" s="1532"/>
      <c r="N12" s="1532"/>
      <c r="O12" s="1532"/>
      <c r="P12" s="1532"/>
      <c r="Q12" s="1532"/>
      <c r="R12" s="342"/>
      <c r="T12" s="11"/>
    </row>
    <row r="13" spans="1:37" s="22" customFormat="1" ht="21" customHeight="1" x14ac:dyDescent="0.15">
      <c r="A13" s="268"/>
      <c r="B13" s="273"/>
      <c r="C13" s="344"/>
      <c r="D13" s="245" t="s">
        <v>443</v>
      </c>
      <c r="E13" s="339">
        <v>21320000</v>
      </c>
      <c r="F13" s="339">
        <f>'사. 임직원보수 일람표'!K103+'아-1 교대인력지원인건비'!K29</f>
        <v>23760000</v>
      </c>
      <c r="G13" s="242">
        <f t="shared" si="0"/>
        <v>2440000</v>
      </c>
      <c r="H13" s="340">
        <f t="shared" si="1"/>
        <v>11.444652908067541</v>
      </c>
      <c r="I13" s="1552" t="s">
        <v>440</v>
      </c>
      <c r="J13" s="1553"/>
      <c r="K13" s="1553"/>
      <c r="L13" s="1553"/>
      <c r="M13" s="1553"/>
      <c r="N13" s="1553"/>
      <c r="O13" s="1553"/>
      <c r="P13" s="1553"/>
      <c r="Q13" s="1553"/>
      <c r="R13" s="1554"/>
      <c r="T13" s="11"/>
    </row>
    <row r="14" spans="1:37" s="22" customFormat="1" ht="21" hidden="1" customHeight="1" x14ac:dyDescent="0.15">
      <c r="A14" s="268"/>
      <c r="B14" s="273"/>
      <c r="C14" s="273"/>
      <c r="D14" s="245"/>
      <c r="E14" s="339"/>
      <c r="G14" s="242"/>
      <c r="H14" s="340" t="e">
        <f t="shared" si="1"/>
        <v>#DIV/0!</v>
      </c>
      <c r="I14" s="1537"/>
      <c r="J14" s="1532"/>
      <c r="K14" s="1532"/>
      <c r="L14" s="1532"/>
      <c r="M14" s="1532"/>
      <c r="N14" s="1532"/>
      <c r="O14" s="1532"/>
      <c r="P14" s="1532"/>
      <c r="Q14" s="1532"/>
      <c r="R14" s="342"/>
      <c r="T14" s="11">
        <f>[1]다.국도시세입!F6-[1]라.국도비세출!F6</f>
        <v>0</v>
      </c>
    </row>
    <row r="15" spans="1:37" s="22" customFormat="1" ht="21" customHeight="1" x14ac:dyDescent="0.15">
      <c r="A15" s="268"/>
      <c r="B15" s="273"/>
      <c r="C15" s="301" t="s">
        <v>444</v>
      </c>
      <c r="D15" s="301"/>
      <c r="E15" s="339">
        <v>153616310</v>
      </c>
      <c r="F15" s="339">
        <f>'사. 임직원보수 일람표'!S103+'아-1 교대인력지원인건비'!Q29</f>
        <v>208236700</v>
      </c>
      <c r="G15" s="242">
        <f t="shared" ref="G15:G55" si="2">F15-E15</f>
        <v>54620390</v>
      </c>
      <c r="H15" s="340">
        <f t="shared" si="1"/>
        <v>35.556374189693791</v>
      </c>
      <c r="I15" s="1537"/>
      <c r="J15" s="1532"/>
      <c r="K15" s="1532"/>
      <c r="L15" s="1532"/>
      <c r="M15" s="1532"/>
      <c r="N15" s="1532"/>
      <c r="O15" s="1532"/>
      <c r="P15" s="1532"/>
      <c r="Q15" s="1532"/>
      <c r="R15" s="1533"/>
      <c r="T15" s="11"/>
    </row>
    <row r="16" spans="1:37" s="22" customFormat="1" ht="21" customHeight="1" x14ac:dyDescent="0.15">
      <c r="A16" s="268"/>
      <c r="B16" s="273"/>
      <c r="C16" s="345" t="s">
        <v>445</v>
      </c>
      <c r="D16" s="346" t="s">
        <v>258</v>
      </c>
      <c r="E16" s="347">
        <v>175638290</v>
      </c>
      <c r="F16" s="347">
        <f>'사. 임직원보수 일람표'!Y103+'아-1 교대인력지원인건비'!W29</f>
        <v>253273660</v>
      </c>
      <c r="G16" s="242">
        <f t="shared" si="2"/>
        <v>77635370</v>
      </c>
      <c r="H16" s="340">
        <f t="shared" si="1"/>
        <v>44.201848013892644</v>
      </c>
      <c r="I16" s="1537"/>
      <c r="J16" s="1532"/>
      <c r="K16" s="1532"/>
      <c r="L16" s="1532"/>
      <c r="M16" s="1532"/>
      <c r="N16" s="1532"/>
      <c r="O16" s="1532"/>
      <c r="P16" s="1532"/>
      <c r="Q16" s="1532"/>
      <c r="R16" s="1533"/>
      <c r="T16" s="11"/>
      <c r="X16" s="11"/>
      <c r="Y16" s="348"/>
      <c r="Z16" s="349">
        <f>'[1]인건비총계표(보조금)'!U5-'[1]인건비총계표(보조금)'!U630</f>
        <v>1843998180</v>
      </c>
    </row>
    <row r="17" spans="1:26" s="22" customFormat="1" ht="29.25" customHeight="1" x14ac:dyDescent="0.15">
      <c r="A17" s="268"/>
      <c r="B17" s="273"/>
      <c r="C17" s="341"/>
      <c r="D17" s="341" t="s">
        <v>446</v>
      </c>
      <c r="E17" s="350">
        <v>63773810</v>
      </c>
      <c r="F17" s="350"/>
      <c r="G17" s="351">
        <f t="shared" si="2"/>
        <v>-63773810</v>
      </c>
      <c r="H17" s="340">
        <f t="shared" si="1"/>
        <v>-100</v>
      </c>
      <c r="I17" s="1557" t="s">
        <v>447</v>
      </c>
      <c r="J17" s="1558"/>
      <c r="K17" s="1558"/>
      <c r="L17" s="1558"/>
      <c r="M17" s="1558"/>
      <c r="N17" s="1558"/>
      <c r="O17" s="1558"/>
      <c r="P17" s="1558"/>
      <c r="Q17" s="1558"/>
      <c r="R17" s="1559"/>
      <c r="T17" s="11">
        <f>'[1]인건비총계표(보조금)'!U5+'[1]인건비총계표(보조금)'!U733-'[1]인건비총계표(보조금)'!U630</f>
        <v>2124498180</v>
      </c>
      <c r="U17" s="352">
        <f>ROUNDUP((T17*6.67%)/2,-1)</f>
        <v>70852020</v>
      </c>
      <c r="V17" s="352">
        <f>ROUNDUP(U17*10.25%,-1)</f>
        <v>7262340</v>
      </c>
      <c r="W17" s="353">
        <f>SUM(U17:V17)</f>
        <v>78114360</v>
      </c>
      <c r="X17" s="11">
        <f>W17-F17</f>
        <v>78114360</v>
      </c>
      <c r="Y17" s="348"/>
      <c r="Z17" s="348">
        <f>SUM(Y16:Y17)</f>
        <v>0</v>
      </c>
    </row>
    <row r="18" spans="1:26" s="22" customFormat="1" ht="30" customHeight="1" x14ac:dyDescent="0.15">
      <c r="A18" s="268"/>
      <c r="B18" s="273"/>
      <c r="C18" s="344"/>
      <c r="D18" s="301" t="s">
        <v>448</v>
      </c>
      <c r="E18" s="339">
        <v>81880880</v>
      </c>
      <c r="F18" s="339"/>
      <c r="G18" s="242">
        <f t="shared" si="2"/>
        <v>-81880880</v>
      </c>
      <c r="H18" s="340">
        <f t="shared" si="1"/>
        <v>-100</v>
      </c>
      <c r="I18" s="1528" t="s">
        <v>449</v>
      </c>
      <c r="J18" s="1529"/>
      <c r="K18" s="1529"/>
      <c r="L18" s="1529"/>
      <c r="M18" s="1529"/>
      <c r="N18" s="1529"/>
      <c r="O18" s="1529"/>
      <c r="P18" s="1529"/>
      <c r="Q18" s="1529"/>
      <c r="R18" s="1530"/>
      <c r="T18" s="11">
        <f>'[1]인건비총계표(보조금)'!U5-'[1]인건비총계표(보조금)'!U630</f>
        <v>1843998180</v>
      </c>
      <c r="U18" s="11">
        <f>ROUNDUP(T18*4.5%,-1)</f>
        <v>82979920</v>
      </c>
      <c r="V18" s="11">
        <f>F18-U18</f>
        <v>-82979920</v>
      </c>
      <c r="W18" s="349">
        <f>SUM(U18:V18)</f>
        <v>0</v>
      </c>
      <c r="X18" s="11">
        <f>W18-F18</f>
        <v>0</v>
      </c>
      <c r="Y18" s="348"/>
    </row>
    <row r="19" spans="1:26" s="22" customFormat="1" ht="26.25" customHeight="1" x14ac:dyDescent="0.15">
      <c r="A19" s="268"/>
      <c r="B19" s="273"/>
      <c r="C19" s="273"/>
      <c r="D19" s="245" t="s">
        <v>450</v>
      </c>
      <c r="E19" s="339">
        <v>15873670</v>
      </c>
      <c r="F19" s="339"/>
      <c r="G19" s="242">
        <f t="shared" si="2"/>
        <v>-15873670</v>
      </c>
      <c r="H19" s="340">
        <f t="shared" si="1"/>
        <v>-100</v>
      </c>
      <c r="I19" s="1528" t="s">
        <v>451</v>
      </c>
      <c r="J19" s="1529"/>
      <c r="K19" s="1529"/>
      <c r="L19" s="1529"/>
      <c r="M19" s="1529"/>
      <c r="N19" s="1529"/>
      <c r="O19" s="1529"/>
      <c r="P19" s="1529"/>
      <c r="Q19" s="1529"/>
      <c r="R19" s="1530"/>
      <c r="T19" s="11">
        <f>'[1]인건비총계표(보조금)'!U5-'[1]인건비총계표(보조금)'!U6-'[1]인건비총계표(보조금)'!U630</f>
        <v>1786567680</v>
      </c>
      <c r="U19" s="11">
        <f>ROUNDUP(T19*0.9%,-1)</f>
        <v>16079110</v>
      </c>
      <c r="V19" s="11">
        <f>F19-U19</f>
        <v>-16079110</v>
      </c>
      <c r="W19" s="349">
        <f>SUM(U19:V19)</f>
        <v>0</v>
      </c>
      <c r="X19" s="11">
        <f>W19-F19</f>
        <v>0</v>
      </c>
    </row>
    <row r="20" spans="1:26" s="22" customFormat="1" ht="25.5" customHeight="1" x14ac:dyDescent="0.15">
      <c r="A20" s="268"/>
      <c r="B20" s="273"/>
      <c r="C20" s="271"/>
      <c r="D20" s="245" t="s">
        <v>452</v>
      </c>
      <c r="E20" s="339">
        <v>14109930</v>
      </c>
      <c r="F20" s="339"/>
      <c r="G20" s="242">
        <f t="shared" si="2"/>
        <v>-14109930</v>
      </c>
      <c r="H20" s="340">
        <f t="shared" si="1"/>
        <v>-100</v>
      </c>
      <c r="I20" s="354" t="s">
        <v>453</v>
      </c>
      <c r="J20" s="355"/>
      <c r="K20" s="356"/>
      <c r="L20" s="356"/>
      <c r="M20" s="357"/>
      <c r="N20" s="357"/>
      <c r="O20" s="1558" t="s">
        <v>454</v>
      </c>
      <c r="P20" s="1558"/>
      <c r="Q20" s="1558"/>
      <c r="R20" s="342"/>
      <c r="T20" s="11">
        <f>'[1]인건비총계표(보조금)'!U5-'[1]인건비총계표(보조금)'!U6-'[1]인건비총계표(보조금)'!U630</f>
        <v>1786567680</v>
      </c>
      <c r="U20" s="11">
        <f>ROUNDUP(T20*0.8%,-1)</f>
        <v>14292550</v>
      </c>
      <c r="V20" s="11">
        <f>F20-U20</f>
        <v>-14292550</v>
      </c>
      <c r="W20" s="349">
        <f>SUM(U20:V20)</f>
        <v>0</v>
      </c>
      <c r="X20" s="11">
        <f>W20-F20</f>
        <v>0</v>
      </c>
    </row>
    <row r="21" spans="1:26" s="22" customFormat="1" ht="21" hidden="1" customHeight="1" x14ac:dyDescent="0.15">
      <c r="A21" s="268"/>
      <c r="B21" s="271"/>
      <c r="C21" s="271" t="s">
        <v>266</v>
      </c>
      <c r="D21" s="271"/>
      <c r="E21" s="347">
        <v>0</v>
      </c>
      <c r="F21" s="347">
        <v>0</v>
      </c>
      <c r="G21" s="242">
        <f t="shared" si="2"/>
        <v>0</v>
      </c>
      <c r="H21" s="340" t="e">
        <f t="shared" si="1"/>
        <v>#DIV/0!</v>
      </c>
      <c r="I21" s="1552"/>
      <c r="J21" s="1553"/>
      <c r="K21" s="1553"/>
      <c r="L21" s="1553"/>
      <c r="M21" s="1553"/>
      <c r="N21" s="1553"/>
      <c r="O21" s="1553"/>
      <c r="P21" s="1553"/>
      <c r="Q21" s="1553"/>
      <c r="R21" s="1554"/>
      <c r="T21" s="11"/>
      <c r="W21" s="349">
        <f>SUM(U21:V21)</f>
        <v>0</v>
      </c>
    </row>
    <row r="22" spans="1:26" s="22" customFormat="1" ht="25.5" customHeight="1" x14ac:dyDescent="0.15">
      <c r="A22" s="268"/>
      <c r="B22" s="245" t="s">
        <v>455</v>
      </c>
      <c r="C22" s="245" t="s">
        <v>258</v>
      </c>
      <c r="D22" s="245"/>
      <c r="E22" s="339">
        <v>490000</v>
      </c>
      <c r="F22" s="339">
        <f>SUM(F23:F25)</f>
        <v>490000</v>
      </c>
      <c r="G22" s="242">
        <f t="shared" si="2"/>
        <v>0</v>
      </c>
      <c r="H22" s="340">
        <f t="shared" si="1"/>
        <v>0</v>
      </c>
      <c r="I22" s="354"/>
      <c r="J22" s="355"/>
      <c r="K22" s="356"/>
      <c r="L22" s="356"/>
      <c r="M22" s="357"/>
      <c r="N22" s="357"/>
      <c r="O22" s="357"/>
      <c r="P22" s="355"/>
      <c r="Q22" s="337"/>
      <c r="R22" s="342"/>
      <c r="T22" s="11"/>
    </row>
    <row r="23" spans="1:26" s="22" customFormat="1" ht="21.75" hidden="1" customHeight="1" x14ac:dyDescent="0.15">
      <c r="A23" s="268"/>
      <c r="B23" s="269"/>
      <c r="C23" s="245" t="s">
        <v>456</v>
      </c>
      <c r="D23" s="245"/>
      <c r="E23" s="339">
        <v>0</v>
      </c>
      <c r="F23" s="339">
        <v>0</v>
      </c>
      <c r="G23" s="242">
        <f t="shared" si="2"/>
        <v>0</v>
      </c>
      <c r="H23" s="340" t="e">
        <f t="shared" si="1"/>
        <v>#DIV/0!</v>
      </c>
      <c r="I23" s="354"/>
      <c r="J23" s="355"/>
      <c r="K23" s="356"/>
      <c r="L23" s="356"/>
      <c r="M23" s="357"/>
      <c r="N23" s="357"/>
      <c r="O23" s="357"/>
      <c r="P23" s="355"/>
      <c r="Q23" s="337"/>
      <c r="R23" s="342"/>
      <c r="T23" s="11"/>
    </row>
    <row r="24" spans="1:26" s="22" customFormat="1" ht="21.75" hidden="1" customHeight="1" x14ac:dyDescent="0.15">
      <c r="A24" s="268"/>
      <c r="B24" s="273"/>
      <c r="C24" s="245" t="s">
        <v>457</v>
      </c>
      <c r="D24" s="245"/>
      <c r="E24" s="339">
        <v>0</v>
      </c>
      <c r="F24" s="339">
        <v>0</v>
      </c>
      <c r="G24" s="242">
        <f t="shared" si="2"/>
        <v>0</v>
      </c>
      <c r="H24" s="340" t="e">
        <f t="shared" si="1"/>
        <v>#DIV/0!</v>
      </c>
      <c r="I24" s="354"/>
      <c r="J24" s="355"/>
      <c r="K24" s="356"/>
      <c r="L24" s="356"/>
      <c r="M24" s="357"/>
      <c r="N24" s="357"/>
      <c r="O24" s="357"/>
      <c r="P24" s="355"/>
      <c r="Q24" s="337"/>
      <c r="R24" s="342"/>
      <c r="T24" s="11"/>
    </row>
    <row r="25" spans="1:26" s="22" customFormat="1" ht="21.75" customHeight="1" x14ac:dyDescent="0.15">
      <c r="A25" s="268"/>
      <c r="B25" s="271"/>
      <c r="C25" s="245" t="s">
        <v>269</v>
      </c>
      <c r="D25" s="245"/>
      <c r="E25" s="339">
        <v>490000</v>
      </c>
      <c r="F25" s="339">
        <v>490000</v>
      </c>
      <c r="G25" s="242">
        <f t="shared" si="2"/>
        <v>0</v>
      </c>
      <c r="H25" s="340">
        <f t="shared" si="1"/>
        <v>0</v>
      </c>
      <c r="I25" s="1528" t="s">
        <v>458</v>
      </c>
      <c r="J25" s="1529"/>
      <c r="K25" s="1529"/>
      <c r="L25" s="1529"/>
      <c r="M25" s="1529"/>
      <c r="N25" s="1529"/>
      <c r="O25" s="1529"/>
      <c r="P25" s="1529"/>
      <c r="Q25" s="1529"/>
      <c r="R25" s="1530"/>
      <c r="T25" s="11"/>
    </row>
    <row r="26" spans="1:26" s="22" customFormat="1" ht="21.75" customHeight="1" x14ac:dyDescent="0.15">
      <c r="A26" s="268"/>
      <c r="B26" s="245" t="s">
        <v>270</v>
      </c>
      <c r="C26" s="245" t="s">
        <v>258</v>
      </c>
      <c r="D26" s="245"/>
      <c r="E26" s="339">
        <v>58210000</v>
      </c>
      <c r="F26" s="339">
        <f>F27+F28+F29+F30+F34+F35</f>
        <v>55840000</v>
      </c>
      <c r="G26" s="242">
        <f t="shared" si="2"/>
        <v>-2370000</v>
      </c>
      <c r="H26" s="340">
        <f t="shared" si="1"/>
        <v>-4.0714653839546466</v>
      </c>
      <c r="I26" s="1514"/>
      <c r="J26" s="1520"/>
      <c r="K26" s="1520"/>
      <c r="L26" s="1520"/>
      <c r="M26" s="1520"/>
      <c r="N26" s="1520"/>
      <c r="O26" s="1520"/>
      <c r="P26" s="1520"/>
      <c r="Q26" s="1520"/>
      <c r="R26" s="1521"/>
      <c r="T26" s="11"/>
    </row>
    <row r="27" spans="1:26" s="22" customFormat="1" ht="21.75" hidden="1" customHeight="1" x14ac:dyDescent="0.15">
      <c r="A27" s="268"/>
      <c r="B27" s="269"/>
      <c r="C27" s="245" t="s">
        <v>272</v>
      </c>
      <c r="D27" s="245" t="s">
        <v>459</v>
      </c>
      <c r="E27" s="339">
        <v>0</v>
      </c>
      <c r="F27" s="339">
        <v>0</v>
      </c>
      <c r="G27" s="242">
        <f t="shared" si="2"/>
        <v>0</v>
      </c>
      <c r="H27" s="340" t="e">
        <f t="shared" si="1"/>
        <v>#DIV/0!</v>
      </c>
      <c r="I27" s="1514"/>
      <c r="J27" s="1520"/>
      <c r="K27" s="1520"/>
      <c r="L27" s="1520"/>
      <c r="M27" s="1520"/>
      <c r="N27" s="1520"/>
      <c r="O27" s="1520"/>
      <c r="P27" s="1520"/>
      <c r="Q27" s="1520"/>
      <c r="R27" s="1521"/>
      <c r="T27" s="11"/>
    </row>
    <row r="28" spans="1:26" s="22" customFormat="1" ht="21.75" customHeight="1" x14ac:dyDescent="0.15">
      <c r="A28" s="268"/>
      <c r="B28" s="273"/>
      <c r="C28" s="301" t="s">
        <v>460</v>
      </c>
      <c r="D28" s="245"/>
      <c r="E28" s="339">
        <v>9084170</v>
      </c>
      <c r="F28" s="339">
        <v>8840000</v>
      </c>
      <c r="G28" s="242">
        <f t="shared" si="2"/>
        <v>-244170</v>
      </c>
      <c r="H28" s="340">
        <f t="shared" si="1"/>
        <v>-2.6878625124805016</v>
      </c>
      <c r="I28" s="1514" t="s">
        <v>461</v>
      </c>
      <c r="J28" s="1520"/>
      <c r="K28" s="1520"/>
      <c r="L28" s="1520"/>
      <c r="M28" s="1520"/>
      <c r="N28" s="1520"/>
      <c r="O28" s="1520"/>
      <c r="P28" s="1520"/>
      <c r="Q28" s="1520"/>
      <c r="R28" s="1521"/>
      <c r="T28" s="11"/>
    </row>
    <row r="29" spans="1:26" s="22" customFormat="1" ht="21.75" customHeight="1" x14ac:dyDescent="0.15">
      <c r="A29" s="268"/>
      <c r="B29" s="273"/>
      <c r="C29" s="245" t="s">
        <v>275</v>
      </c>
      <c r="D29" s="245"/>
      <c r="E29" s="339">
        <v>38000000</v>
      </c>
      <c r="F29" s="339">
        <v>40000000</v>
      </c>
      <c r="G29" s="242">
        <f t="shared" si="2"/>
        <v>2000000</v>
      </c>
      <c r="H29" s="340">
        <f t="shared" si="1"/>
        <v>5.2631578947368416</v>
      </c>
      <c r="I29" s="1551" t="s">
        <v>462</v>
      </c>
      <c r="J29" s="1520"/>
      <c r="K29" s="1520"/>
      <c r="L29" s="1520"/>
      <c r="M29" s="1520"/>
      <c r="N29" s="1520"/>
      <c r="O29" s="1520"/>
      <c r="P29" s="1520"/>
      <c r="Q29" s="1520"/>
      <c r="R29" s="1521"/>
      <c r="T29" s="11"/>
      <c r="U29" s="11"/>
    </row>
    <row r="30" spans="1:26" s="22" customFormat="1" ht="21.75" customHeight="1" x14ac:dyDescent="0.15">
      <c r="A30" s="268"/>
      <c r="B30" s="273"/>
      <c r="C30" s="245" t="s">
        <v>276</v>
      </c>
      <c r="D30" s="245"/>
      <c r="E30" s="339">
        <v>6625830</v>
      </c>
      <c r="F30" s="339">
        <v>3000000</v>
      </c>
      <c r="G30" s="242">
        <f t="shared" si="2"/>
        <v>-3625830</v>
      </c>
      <c r="H30" s="340">
        <f t="shared" si="1"/>
        <v>-54.722653614716954</v>
      </c>
      <c r="I30" s="1514" t="s">
        <v>463</v>
      </c>
      <c r="J30" s="1520"/>
      <c r="K30" s="1520"/>
      <c r="L30" s="1520"/>
      <c r="M30" s="1520"/>
      <c r="N30" s="1520"/>
      <c r="O30" s="1520"/>
      <c r="P30" s="1520"/>
      <c r="Q30" s="1520"/>
      <c r="R30" s="1521"/>
      <c r="T30" s="11"/>
      <c r="U30" s="11"/>
    </row>
    <row r="31" spans="1:26" s="22" customFormat="1" ht="21.75" hidden="1" customHeight="1" x14ac:dyDescent="0.15">
      <c r="A31" s="268"/>
      <c r="B31" s="273"/>
      <c r="C31" s="269"/>
      <c r="D31" s="245" t="s">
        <v>464</v>
      </c>
      <c r="E31" s="339"/>
      <c r="F31" s="339"/>
      <c r="G31" s="242">
        <f t="shared" si="2"/>
        <v>0</v>
      </c>
      <c r="H31" s="340" t="e">
        <f t="shared" si="1"/>
        <v>#DIV/0!</v>
      </c>
      <c r="I31" s="1514" t="s">
        <v>465</v>
      </c>
      <c r="J31" s="1520"/>
      <c r="K31" s="1520"/>
      <c r="L31" s="1520"/>
      <c r="M31" s="1520"/>
      <c r="N31" s="1520"/>
      <c r="O31" s="1520"/>
      <c r="P31" s="1520"/>
      <c r="Q31" s="1520"/>
      <c r="R31" s="1521"/>
      <c r="T31" s="11"/>
      <c r="U31" s="349">
        <f>SUM(U29:U30)</f>
        <v>0</v>
      </c>
    </row>
    <row r="32" spans="1:26" s="22" customFormat="1" ht="21.75" hidden="1" customHeight="1" x14ac:dyDescent="0.15">
      <c r="A32" s="268"/>
      <c r="B32" s="273"/>
      <c r="C32" s="273"/>
      <c r="D32" s="245" t="s">
        <v>466</v>
      </c>
      <c r="E32" s="339">
        <v>0</v>
      </c>
      <c r="F32" s="339">
        <v>0</v>
      </c>
      <c r="G32" s="242">
        <f t="shared" si="2"/>
        <v>0</v>
      </c>
      <c r="H32" s="340" t="e">
        <f t="shared" si="1"/>
        <v>#DIV/0!</v>
      </c>
      <c r="I32" s="1514"/>
      <c r="J32" s="1520"/>
      <c r="K32" s="1520"/>
      <c r="L32" s="1520"/>
      <c r="M32" s="1520"/>
      <c r="N32" s="1520"/>
      <c r="O32" s="1520"/>
      <c r="P32" s="1520"/>
      <c r="Q32" s="1520"/>
      <c r="R32" s="1521"/>
      <c r="T32" s="11"/>
    </row>
    <row r="33" spans="1:20" s="22" customFormat="1" ht="21.75" hidden="1" customHeight="1" x14ac:dyDescent="0.15">
      <c r="A33" s="268"/>
      <c r="B33" s="273"/>
      <c r="C33" s="271"/>
      <c r="D33" s="245"/>
      <c r="E33" s="339"/>
      <c r="F33" s="339"/>
      <c r="G33" s="242">
        <f t="shared" si="2"/>
        <v>0</v>
      </c>
      <c r="H33" s="340" t="e">
        <f t="shared" si="1"/>
        <v>#DIV/0!</v>
      </c>
      <c r="I33" s="1514"/>
      <c r="J33" s="1520"/>
      <c r="K33" s="1520"/>
      <c r="L33" s="1520"/>
      <c r="M33" s="1520"/>
      <c r="N33" s="1520"/>
      <c r="O33" s="1520"/>
      <c r="P33" s="1520"/>
      <c r="Q33" s="1520"/>
      <c r="R33" s="1521"/>
      <c r="T33" s="11"/>
    </row>
    <row r="34" spans="1:20" s="22" customFormat="1" ht="21.75" customHeight="1" x14ac:dyDescent="0.15">
      <c r="A34" s="261"/>
      <c r="B34" s="271"/>
      <c r="C34" s="245" t="s">
        <v>277</v>
      </c>
      <c r="D34" s="245"/>
      <c r="E34" s="339">
        <v>4500000</v>
      </c>
      <c r="F34" s="339">
        <v>4000000</v>
      </c>
      <c r="G34" s="242">
        <f t="shared" si="2"/>
        <v>-500000</v>
      </c>
      <c r="H34" s="340">
        <f t="shared" si="1"/>
        <v>-11.111111111111111</v>
      </c>
      <c r="I34" s="1514" t="s">
        <v>467</v>
      </c>
      <c r="J34" s="1520"/>
      <c r="K34" s="1520"/>
      <c r="L34" s="1520"/>
      <c r="M34" s="1520"/>
      <c r="N34" s="1520"/>
      <c r="O34" s="1520"/>
      <c r="P34" s="1520"/>
      <c r="Q34" s="1520"/>
      <c r="R34" s="1521"/>
      <c r="T34" s="11"/>
    </row>
    <row r="35" spans="1:20" s="22" customFormat="1" ht="21.75" hidden="1" customHeight="1" x14ac:dyDescent="0.15">
      <c r="A35" s="261"/>
      <c r="B35" s="271"/>
      <c r="C35" s="271" t="s">
        <v>278</v>
      </c>
      <c r="D35" s="245"/>
      <c r="E35" s="339">
        <v>0</v>
      </c>
      <c r="F35" s="339">
        <v>0</v>
      </c>
      <c r="G35" s="242">
        <f t="shared" si="2"/>
        <v>0</v>
      </c>
      <c r="H35" s="340" t="e">
        <f t="shared" si="1"/>
        <v>#DIV/0!</v>
      </c>
      <c r="I35" s="1514" t="s">
        <v>463</v>
      </c>
      <c r="J35" s="1520"/>
      <c r="K35" s="1520"/>
      <c r="L35" s="1520"/>
      <c r="M35" s="1520"/>
      <c r="N35" s="1520"/>
      <c r="O35" s="1520"/>
      <c r="P35" s="1520"/>
      <c r="Q35" s="1520"/>
      <c r="R35" s="1521"/>
      <c r="T35" s="11"/>
    </row>
    <row r="36" spans="1:20" s="22" customFormat="1" ht="24.75" customHeight="1" x14ac:dyDescent="0.15">
      <c r="A36" s="261" t="s">
        <v>279</v>
      </c>
      <c r="B36" s="1543" t="s">
        <v>255</v>
      </c>
      <c r="C36" s="1544"/>
      <c r="D36" s="271"/>
      <c r="E36" s="347">
        <v>12000000</v>
      </c>
      <c r="F36" s="347">
        <f>F37</f>
        <v>15000000</v>
      </c>
      <c r="G36" s="242">
        <f t="shared" si="2"/>
        <v>3000000</v>
      </c>
      <c r="H36" s="340">
        <f t="shared" si="1"/>
        <v>25</v>
      </c>
      <c r="I36" s="1548"/>
      <c r="J36" s="1549"/>
      <c r="K36" s="1549"/>
      <c r="L36" s="1549"/>
      <c r="M36" s="1549"/>
      <c r="N36" s="1549"/>
      <c r="O36" s="1549"/>
      <c r="P36" s="1549"/>
      <c r="Q36" s="1549"/>
      <c r="R36" s="1550"/>
      <c r="T36" s="11"/>
    </row>
    <row r="37" spans="1:20" s="22" customFormat="1" ht="24" customHeight="1" x14ac:dyDescent="0.15">
      <c r="A37" s="259"/>
      <c r="B37" s="245" t="s">
        <v>280</v>
      </c>
      <c r="C37" s="245" t="s">
        <v>258</v>
      </c>
      <c r="D37" s="245"/>
      <c r="E37" s="339">
        <v>12000000</v>
      </c>
      <c r="F37" s="339">
        <f>SUM(F38:F40)</f>
        <v>15000000</v>
      </c>
      <c r="G37" s="242">
        <f t="shared" si="2"/>
        <v>3000000</v>
      </c>
      <c r="H37" s="340">
        <f t="shared" si="1"/>
        <v>25</v>
      </c>
      <c r="I37" s="1514"/>
      <c r="J37" s="1520"/>
      <c r="K37" s="1520"/>
      <c r="L37" s="1520"/>
      <c r="M37" s="1520"/>
      <c r="N37" s="1520"/>
      <c r="O37" s="1520"/>
      <c r="P37" s="1520"/>
      <c r="Q37" s="1520"/>
      <c r="R37" s="1521"/>
      <c r="T37" s="11"/>
    </row>
    <row r="38" spans="1:20" s="22" customFormat="1" ht="19.5" hidden="1" customHeight="1" x14ac:dyDescent="0.15">
      <c r="A38" s="268"/>
      <c r="B38" s="269"/>
      <c r="C38" s="245" t="s">
        <v>280</v>
      </c>
      <c r="D38" s="245"/>
      <c r="E38" s="339">
        <v>0</v>
      </c>
      <c r="F38" s="339">
        <v>0</v>
      </c>
      <c r="G38" s="242">
        <f t="shared" si="2"/>
        <v>0</v>
      </c>
      <c r="H38" s="340" t="e">
        <f t="shared" si="1"/>
        <v>#DIV/0!</v>
      </c>
      <c r="I38" s="1514"/>
      <c r="J38" s="1520"/>
      <c r="K38" s="1520"/>
      <c r="L38" s="1520"/>
      <c r="M38" s="1520"/>
      <c r="N38" s="1520"/>
      <c r="O38" s="1520"/>
      <c r="P38" s="1520"/>
      <c r="Q38" s="1520"/>
      <c r="R38" s="1521"/>
      <c r="T38" s="11"/>
    </row>
    <row r="39" spans="1:20" s="22" customFormat="1" ht="19.5" customHeight="1" x14ac:dyDescent="0.15">
      <c r="A39" s="268"/>
      <c r="B39" s="273"/>
      <c r="C39" s="301" t="s">
        <v>281</v>
      </c>
      <c r="D39" s="301"/>
      <c r="E39" s="339">
        <v>0</v>
      </c>
      <c r="F39" s="339"/>
      <c r="G39" s="242">
        <f t="shared" si="2"/>
        <v>0</v>
      </c>
      <c r="H39" s="340" t="e">
        <f t="shared" si="1"/>
        <v>#DIV/0!</v>
      </c>
      <c r="I39" s="1514" t="s">
        <v>468</v>
      </c>
      <c r="J39" s="1520"/>
      <c r="K39" s="1520"/>
      <c r="L39" s="1520"/>
      <c r="M39" s="1520"/>
      <c r="N39" s="1520"/>
      <c r="O39" s="1520"/>
      <c r="P39" s="1520"/>
      <c r="Q39" s="1520"/>
      <c r="R39" s="1521"/>
      <c r="T39" s="11"/>
    </row>
    <row r="40" spans="1:20" s="22" customFormat="1" ht="28.5" customHeight="1" x14ac:dyDescent="0.15">
      <c r="A40" s="279"/>
      <c r="B40" s="280"/>
      <c r="C40" s="358" t="s">
        <v>469</v>
      </c>
      <c r="D40" s="358" t="s">
        <v>470</v>
      </c>
      <c r="E40" s="359">
        <v>12000000</v>
      </c>
      <c r="F40" s="359">
        <v>15000000</v>
      </c>
      <c r="G40" s="360">
        <f t="shared" si="2"/>
        <v>3000000</v>
      </c>
      <c r="H40" s="361">
        <f t="shared" si="1"/>
        <v>25</v>
      </c>
      <c r="I40" s="1517" t="s">
        <v>471</v>
      </c>
      <c r="J40" s="1541"/>
      <c r="K40" s="1541"/>
      <c r="L40" s="1541"/>
      <c r="M40" s="1541"/>
      <c r="N40" s="1541"/>
      <c r="O40" s="1541"/>
      <c r="P40" s="1541"/>
      <c r="Q40" s="1541"/>
      <c r="R40" s="1542"/>
      <c r="T40" s="11"/>
    </row>
    <row r="41" spans="1:20" s="22" customFormat="1" ht="24.75" customHeight="1" x14ac:dyDescent="0.15">
      <c r="A41" s="261" t="s">
        <v>283</v>
      </c>
      <c r="B41" s="1543" t="s">
        <v>255</v>
      </c>
      <c r="C41" s="1544"/>
      <c r="D41" s="346"/>
      <c r="E41" s="347">
        <v>165432640</v>
      </c>
      <c r="F41" s="347">
        <f>F42+F50</f>
        <v>171838000</v>
      </c>
      <c r="G41" s="362">
        <f t="shared" si="2"/>
        <v>6405360</v>
      </c>
      <c r="H41" s="340">
        <f t="shared" si="1"/>
        <v>3.8718840490002462</v>
      </c>
      <c r="I41" s="1545"/>
      <c r="J41" s="1546"/>
      <c r="K41" s="1546"/>
      <c r="L41" s="1546"/>
      <c r="M41" s="1546"/>
      <c r="N41" s="1546"/>
      <c r="O41" s="1546"/>
      <c r="P41" s="1546"/>
      <c r="Q41" s="1546"/>
      <c r="R41" s="1547"/>
      <c r="T41" s="11"/>
    </row>
    <row r="42" spans="1:20" s="22" customFormat="1" ht="24.75" customHeight="1" x14ac:dyDescent="0.15">
      <c r="A42" s="259"/>
      <c r="B42" s="245" t="s">
        <v>270</v>
      </c>
      <c r="C42" s="301" t="s">
        <v>258</v>
      </c>
      <c r="D42" s="301"/>
      <c r="E42" s="339">
        <v>155332640</v>
      </c>
      <c r="F42" s="339">
        <f>SUM(F43,F47)</f>
        <v>161739200</v>
      </c>
      <c r="G42" s="242">
        <f t="shared" si="2"/>
        <v>6406560</v>
      </c>
      <c r="H42" s="340">
        <f t="shared" si="1"/>
        <v>4.1244132591836467</v>
      </c>
      <c r="I42" s="1528"/>
      <c r="J42" s="1529"/>
      <c r="K42" s="1529"/>
      <c r="L42" s="1529"/>
      <c r="M42" s="1529"/>
      <c r="N42" s="1529"/>
      <c r="O42" s="1529"/>
      <c r="P42" s="1529"/>
      <c r="Q42" s="1529"/>
      <c r="R42" s="1530"/>
      <c r="S42" s="53"/>
      <c r="T42" s="11"/>
    </row>
    <row r="43" spans="1:20" s="22" customFormat="1" ht="24.75" customHeight="1" x14ac:dyDescent="0.15">
      <c r="A43" s="268"/>
      <c r="B43" s="269"/>
      <c r="C43" s="301" t="s">
        <v>286</v>
      </c>
      <c r="D43" s="301" t="s">
        <v>258</v>
      </c>
      <c r="E43" s="339">
        <v>134362640</v>
      </c>
      <c r="F43" s="339">
        <f>SUM(F44:F46)</f>
        <v>140739200</v>
      </c>
      <c r="G43" s="242">
        <f t="shared" si="2"/>
        <v>6376560</v>
      </c>
      <c r="H43" s="340">
        <f t="shared" si="1"/>
        <v>4.7457835005325881</v>
      </c>
      <c r="I43" s="1514"/>
      <c r="J43" s="1520"/>
      <c r="K43" s="1520"/>
      <c r="L43" s="1520"/>
      <c r="M43" s="1520"/>
      <c r="N43" s="1520"/>
      <c r="O43" s="1520"/>
      <c r="P43" s="1520"/>
      <c r="Q43" s="1520"/>
      <c r="R43" s="1521"/>
      <c r="S43" s="53"/>
      <c r="T43" s="11"/>
    </row>
    <row r="44" spans="1:20" s="22" customFormat="1" ht="24.75" customHeight="1" x14ac:dyDescent="0.15">
      <c r="A44" s="268"/>
      <c r="B44" s="273"/>
      <c r="C44" s="341"/>
      <c r="D44" s="341" t="s">
        <v>334</v>
      </c>
      <c r="E44" s="363">
        <v>3412200</v>
      </c>
      <c r="F44" s="363">
        <f>[1]생활보장급여!G8</f>
        <v>3543500</v>
      </c>
      <c r="G44" s="242">
        <f t="shared" si="2"/>
        <v>131300</v>
      </c>
      <c r="H44" s="340">
        <f t="shared" si="1"/>
        <v>3.8479573295820879</v>
      </c>
      <c r="I44" s="1531" t="s">
        <v>472</v>
      </c>
      <c r="J44" s="1523"/>
      <c r="K44" s="1523"/>
      <c r="L44" s="1523"/>
      <c r="M44" s="1523"/>
      <c r="N44" s="1523"/>
      <c r="O44" s="1523"/>
      <c r="P44" s="1523"/>
      <c r="Q44" s="1523"/>
      <c r="R44" s="1524"/>
      <c r="S44" s="53"/>
      <c r="T44" s="11"/>
    </row>
    <row r="45" spans="1:20" s="22" customFormat="1" ht="24.75" customHeight="1" x14ac:dyDescent="0.15">
      <c r="A45" s="268"/>
      <c r="B45" s="273"/>
      <c r="C45" s="344"/>
      <c r="D45" s="301" t="s">
        <v>336</v>
      </c>
      <c r="E45" s="339">
        <v>129440280</v>
      </c>
      <c r="F45" s="339">
        <f>[1]생활보장급여!G10</f>
        <v>135608100</v>
      </c>
      <c r="G45" s="242">
        <f t="shared" si="2"/>
        <v>6167820</v>
      </c>
      <c r="H45" s="340">
        <f t="shared" si="1"/>
        <v>4.7649927827721017</v>
      </c>
      <c r="I45" s="1531" t="s">
        <v>473</v>
      </c>
      <c r="J45" s="1523"/>
      <c r="K45" s="1523"/>
      <c r="L45" s="1523"/>
      <c r="M45" s="1523"/>
      <c r="N45" s="1523"/>
      <c r="O45" s="1523"/>
      <c r="P45" s="1523"/>
      <c r="Q45" s="1523"/>
      <c r="R45" s="1524"/>
      <c r="S45" s="53"/>
      <c r="T45" s="11"/>
    </row>
    <row r="46" spans="1:20" s="22" customFormat="1" ht="24.75" customHeight="1" x14ac:dyDescent="0.15">
      <c r="A46" s="268"/>
      <c r="B46" s="273"/>
      <c r="C46" s="344"/>
      <c r="D46" s="301" t="s">
        <v>338</v>
      </c>
      <c r="E46" s="339">
        <v>1510160</v>
      </c>
      <c r="F46" s="339">
        <f>[1]생활보장급여!G11</f>
        <v>1587600</v>
      </c>
      <c r="G46" s="242">
        <f t="shared" si="2"/>
        <v>77440</v>
      </c>
      <c r="H46" s="340">
        <f t="shared" si="1"/>
        <v>5.1279334640038146</v>
      </c>
      <c r="I46" s="1514" t="s">
        <v>474</v>
      </c>
      <c r="J46" s="1520"/>
      <c r="K46" s="1520"/>
      <c r="L46" s="1520"/>
      <c r="M46" s="1520"/>
      <c r="N46" s="1520"/>
      <c r="O46" s="1520"/>
      <c r="P46" s="1520"/>
      <c r="Q46" s="1520"/>
      <c r="R46" s="1521"/>
      <c r="S46" s="53"/>
      <c r="T46" s="11"/>
    </row>
    <row r="47" spans="1:20" s="22" customFormat="1" ht="24.75" customHeight="1" x14ac:dyDescent="0.15">
      <c r="A47" s="268"/>
      <c r="B47" s="364"/>
      <c r="C47" s="345" t="s">
        <v>475</v>
      </c>
      <c r="D47" s="344" t="s">
        <v>258</v>
      </c>
      <c r="E47" s="365">
        <v>20970000</v>
      </c>
      <c r="F47" s="365">
        <f>SUM(F48:F49)</f>
        <v>21000000</v>
      </c>
      <c r="G47" s="242">
        <f t="shared" si="2"/>
        <v>30000</v>
      </c>
      <c r="H47" s="340">
        <f t="shared" si="1"/>
        <v>0.14306151645207438</v>
      </c>
      <c r="I47" s="1525"/>
      <c r="J47" s="1532"/>
      <c r="K47" s="1532"/>
      <c r="L47" s="1532"/>
      <c r="M47" s="1532"/>
      <c r="N47" s="1532"/>
      <c r="O47" s="1532"/>
      <c r="P47" s="1532"/>
      <c r="Q47" s="1532"/>
      <c r="R47" s="1533"/>
      <c r="S47" s="53"/>
      <c r="T47" s="11"/>
    </row>
    <row r="48" spans="1:20" s="22" customFormat="1" ht="30.75" customHeight="1" x14ac:dyDescent="0.15">
      <c r="A48" s="268"/>
      <c r="B48" s="364"/>
      <c r="C48" s="269"/>
      <c r="D48" s="245" t="s">
        <v>476</v>
      </c>
      <c r="E48" s="339">
        <v>7000000</v>
      </c>
      <c r="F48" s="339">
        <v>7000000</v>
      </c>
      <c r="G48" s="242">
        <f t="shared" si="2"/>
        <v>0</v>
      </c>
      <c r="H48" s="340">
        <f t="shared" si="1"/>
        <v>0</v>
      </c>
      <c r="I48" s="1534" t="s">
        <v>477</v>
      </c>
      <c r="J48" s="1535"/>
      <c r="K48" s="1535"/>
      <c r="L48" s="1535"/>
      <c r="M48" s="1535"/>
      <c r="N48" s="1535"/>
      <c r="O48" s="1535"/>
      <c r="P48" s="1535"/>
      <c r="Q48" s="1535"/>
      <c r="R48" s="1536"/>
      <c r="T48" s="11"/>
    </row>
    <row r="49" spans="1:20" s="22" customFormat="1" ht="24.75" customHeight="1" x14ac:dyDescent="0.15">
      <c r="A49" s="261"/>
      <c r="B49" s="366"/>
      <c r="C49" s="271"/>
      <c r="D49" s="245" t="s">
        <v>478</v>
      </c>
      <c r="E49" s="339">
        <v>13970000</v>
      </c>
      <c r="F49" s="339">
        <v>14000000</v>
      </c>
      <c r="G49" s="242">
        <f t="shared" si="2"/>
        <v>30000</v>
      </c>
      <c r="H49" s="336">
        <f t="shared" si="1"/>
        <v>0.21474588403722264</v>
      </c>
      <c r="I49" s="1514" t="s">
        <v>479</v>
      </c>
      <c r="J49" s="1520"/>
      <c r="K49" s="1520"/>
      <c r="L49" s="1520"/>
      <c r="M49" s="1520"/>
      <c r="N49" s="1520"/>
      <c r="O49" s="1520"/>
      <c r="P49" s="1520"/>
      <c r="Q49" s="1520"/>
      <c r="R49" s="1521"/>
      <c r="T49" s="11"/>
    </row>
    <row r="50" spans="1:20" s="22" customFormat="1" ht="20.25" customHeight="1" x14ac:dyDescent="0.15">
      <c r="A50" s="268"/>
      <c r="B50" s="245" t="s">
        <v>283</v>
      </c>
      <c r="C50" s="301" t="s">
        <v>258</v>
      </c>
      <c r="D50" s="301"/>
      <c r="E50" s="339">
        <v>10100000</v>
      </c>
      <c r="F50" s="339">
        <f>SUM(F51:F52)</f>
        <v>10098800</v>
      </c>
      <c r="G50" s="242">
        <f t="shared" si="2"/>
        <v>-1200</v>
      </c>
      <c r="H50" s="340">
        <f t="shared" si="1"/>
        <v>-1.1881188118811881E-2</v>
      </c>
      <c r="I50" s="1537"/>
      <c r="J50" s="1532"/>
      <c r="K50" s="1532"/>
      <c r="L50" s="1532"/>
      <c r="M50" s="1532"/>
      <c r="N50" s="1532"/>
      <c r="O50" s="1532"/>
      <c r="P50" s="1532"/>
      <c r="Q50" s="1532"/>
      <c r="R50" s="1533"/>
      <c r="T50" s="11"/>
    </row>
    <row r="51" spans="1:20" s="22" customFormat="1" ht="25.5" customHeight="1" x14ac:dyDescent="0.15">
      <c r="A51" s="268"/>
      <c r="B51" s="273"/>
      <c r="C51" s="341" t="s">
        <v>480</v>
      </c>
      <c r="D51" s="341" t="s">
        <v>481</v>
      </c>
      <c r="E51" s="363">
        <v>8000000</v>
      </c>
      <c r="F51" s="363">
        <v>8000000</v>
      </c>
      <c r="G51" s="351">
        <f t="shared" si="2"/>
        <v>0</v>
      </c>
      <c r="H51" s="340">
        <f t="shared" si="1"/>
        <v>0</v>
      </c>
      <c r="I51" s="1538" t="s">
        <v>482</v>
      </c>
      <c r="J51" s="1539"/>
      <c r="K51" s="1539"/>
      <c r="L51" s="1539"/>
      <c r="M51" s="1539"/>
      <c r="N51" s="1539"/>
      <c r="O51" s="1539"/>
      <c r="P51" s="1539"/>
      <c r="Q51" s="1539"/>
      <c r="R51" s="1540"/>
      <c r="T51" s="11"/>
    </row>
    <row r="52" spans="1:20" s="22" customFormat="1" ht="22.5" customHeight="1" x14ac:dyDescent="0.15">
      <c r="A52" s="268"/>
      <c r="B52" s="273"/>
      <c r="C52" s="301" t="s">
        <v>483</v>
      </c>
      <c r="D52" s="301" t="s">
        <v>258</v>
      </c>
      <c r="E52" s="339">
        <v>2100000</v>
      </c>
      <c r="F52" s="339">
        <f>SUM(F53:F55)</f>
        <v>2098800</v>
      </c>
      <c r="G52" s="242">
        <f t="shared" si="2"/>
        <v>-1200</v>
      </c>
      <c r="H52" s="340">
        <f t="shared" si="1"/>
        <v>-5.7142857142857148E-2</v>
      </c>
      <c r="I52" s="1514"/>
      <c r="J52" s="1520"/>
      <c r="K52" s="1520"/>
      <c r="L52" s="1520"/>
      <c r="M52" s="1520"/>
      <c r="N52" s="1520"/>
      <c r="O52" s="1520"/>
      <c r="P52" s="1520"/>
      <c r="Q52" s="1520"/>
      <c r="R52" s="1521"/>
      <c r="T52" s="11"/>
    </row>
    <row r="53" spans="1:20" s="22" customFormat="1" ht="22.5" customHeight="1" x14ac:dyDescent="0.15">
      <c r="A53" s="268"/>
      <c r="B53" s="273"/>
      <c r="C53" s="341"/>
      <c r="D53" s="301" t="s">
        <v>483</v>
      </c>
      <c r="E53" s="339">
        <v>2100000</v>
      </c>
      <c r="F53" s="339">
        <v>2098800</v>
      </c>
      <c r="G53" s="242">
        <f t="shared" si="2"/>
        <v>-1200</v>
      </c>
      <c r="H53" s="340">
        <v>0</v>
      </c>
      <c r="I53" s="1522" t="s">
        <v>484</v>
      </c>
      <c r="J53" s="1523"/>
      <c r="K53" s="1523"/>
      <c r="L53" s="1523"/>
      <c r="M53" s="1523"/>
      <c r="N53" s="1523"/>
      <c r="O53" s="1523"/>
      <c r="P53" s="1523"/>
      <c r="Q53" s="1523"/>
      <c r="R53" s="1524"/>
      <c r="T53" s="11"/>
    </row>
    <row r="54" spans="1:20" s="22" customFormat="1" ht="22.5" hidden="1" customHeight="1" x14ac:dyDescent="0.15">
      <c r="A54" s="268"/>
      <c r="B54" s="273"/>
      <c r="C54" s="344"/>
      <c r="D54" s="301"/>
      <c r="E54" s="339"/>
      <c r="F54" s="339"/>
      <c r="G54" s="242"/>
      <c r="H54" s="340">
        <v>0</v>
      </c>
      <c r="I54" s="1514"/>
      <c r="J54" s="1520"/>
      <c r="K54" s="1520"/>
      <c r="L54" s="1520"/>
      <c r="M54" s="1520"/>
      <c r="N54" s="1520"/>
      <c r="O54" s="1520"/>
      <c r="P54" s="1520"/>
      <c r="Q54" s="1520"/>
      <c r="R54" s="1521"/>
      <c r="T54" s="11"/>
    </row>
    <row r="55" spans="1:20" s="22" customFormat="1" ht="23.25" hidden="1" customHeight="1" x14ac:dyDescent="0.15">
      <c r="A55" s="268"/>
      <c r="B55" s="271"/>
      <c r="C55" s="346"/>
      <c r="D55" s="301" t="s">
        <v>483</v>
      </c>
      <c r="E55" s="339"/>
      <c r="F55" s="339"/>
      <c r="G55" s="242">
        <f t="shared" si="2"/>
        <v>0</v>
      </c>
      <c r="H55" s="340">
        <v>0</v>
      </c>
      <c r="I55" s="1522"/>
      <c r="J55" s="1523"/>
      <c r="K55" s="1523"/>
      <c r="L55" s="1523"/>
      <c r="M55" s="1523"/>
      <c r="N55" s="1523"/>
      <c r="O55" s="1523"/>
      <c r="P55" s="1523"/>
      <c r="Q55" s="1523"/>
      <c r="R55" s="1524"/>
      <c r="T55" s="11"/>
    </row>
    <row r="56" spans="1:20" s="22" customFormat="1" ht="24" customHeight="1" x14ac:dyDescent="0.15">
      <c r="A56" s="256" t="s">
        <v>306</v>
      </c>
      <c r="B56" s="1512" t="s">
        <v>255</v>
      </c>
      <c r="C56" s="1513"/>
      <c r="D56" s="301"/>
      <c r="E56" s="339">
        <v>542480</v>
      </c>
      <c r="F56" s="339">
        <f>F57</f>
        <v>0</v>
      </c>
      <c r="G56" s="242">
        <f t="shared" ref="G56:G61" si="3">F56-E56</f>
        <v>-542480</v>
      </c>
      <c r="H56" s="340">
        <f t="shared" ref="H56:H61" si="4">G56/E56*100</f>
        <v>-100</v>
      </c>
      <c r="I56" s="1525"/>
      <c r="J56" s="1526"/>
      <c r="K56" s="1526"/>
      <c r="L56" s="1526"/>
      <c r="M56" s="1526"/>
      <c r="N56" s="1526"/>
      <c r="O56" s="1526"/>
      <c r="P56" s="1526"/>
      <c r="Q56" s="1526"/>
      <c r="R56" s="1527"/>
      <c r="T56" s="11"/>
    </row>
    <row r="57" spans="1:20" s="22" customFormat="1" ht="24" customHeight="1" x14ac:dyDescent="0.15">
      <c r="A57" s="259"/>
      <c r="B57" s="245" t="s">
        <v>306</v>
      </c>
      <c r="C57" s="245" t="s">
        <v>258</v>
      </c>
      <c r="D57" s="245"/>
      <c r="E57" s="335">
        <v>542480</v>
      </c>
      <c r="F57" s="335">
        <f>F58</f>
        <v>0</v>
      </c>
      <c r="G57" s="242">
        <f t="shared" si="3"/>
        <v>-542480</v>
      </c>
      <c r="H57" s="340">
        <f t="shared" si="4"/>
        <v>-100</v>
      </c>
      <c r="I57" s="1514"/>
      <c r="J57" s="1520"/>
      <c r="K57" s="1520"/>
      <c r="L57" s="1520"/>
      <c r="M57" s="1520"/>
      <c r="N57" s="1520"/>
      <c r="O57" s="1520"/>
      <c r="P57" s="1520"/>
      <c r="Q57" s="1520"/>
      <c r="R57" s="1521"/>
      <c r="T57" s="11"/>
    </row>
    <row r="58" spans="1:20" s="22" customFormat="1" ht="24" customHeight="1" x14ac:dyDescent="0.15">
      <c r="A58" s="261"/>
      <c r="B58" s="245"/>
      <c r="C58" s="245" t="s">
        <v>306</v>
      </c>
      <c r="D58" s="245"/>
      <c r="E58" s="243">
        <v>542480</v>
      </c>
      <c r="F58" s="243"/>
      <c r="G58" s="242">
        <f t="shared" si="3"/>
        <v>-542480</v>
      </c>
      <c r="H58" s="340">
        <f t="shared" si="4"/>
        <v>-100</v>
      </c>
      <c r="I58" s="1514"/>
      <c r="J58" s="1515"/>
      <c r="K58" s="1515"/>
      <c r="L58" s="1515"/>
      <c r="M58" s="1515"/>
      <c r="N58" s="1515"/>
      <c r="O58" s="1515"/>
      <c r="P58" s="1515"/>
      <c r="Q58" s="1515"/>
      <c r="R58" s="1516"/>
      <c r="T58" s="11"/>
    </row>
    <row r="59" spans="1:20" s="22" customFormat="1" ht="24" customHeight="1" x14ac:dyDescent="0.15">
      <c r="A59" s="256" t="s">
        <v>307</v>
      </c>
      <c r="B59" s="1512" t="s">
        <v>255</v>
      </c>
      <c r="C59" s="1513"/>
      <c r="D59" s="245"/>
      <c r="E59" s="335">
        <v>25205000</v>
      </c>
      <c r="F59" s="335">
        <f>F60</f>
        <v>10000000</v>
      </c>
      <c r="G59" s="242">
        <f t="shared" si="3"/>
        <v>-15205000</v>
      </c>
      <c r="H59" s="340">
        <f t="shared" si="4"/>
        <v>-60.325332275342191</v>
      </c>
      <c r="I59" s="1514"/>
      <c r="J59" s="1515"/>
      <c r="K59" s="1515"/>
      <c r="L59" s="1515"/>
      <c r="M59" s="1515"/>
      <c r="N59" s="1515"/>
      <c r="O59" s="1515"/>
      <c r="P59" s="1515"/>
      <c r="Q59" s="1515"/>
      <c r="R59" s="1516"/>
      <c r="T59" s="11"/>
    </row>
    <row r="60" spans="1:20" s="22" customFormat="1" ht="24" customHeight="1" x14ac:dyDescent="0.15">
      <c r="A60" s="259"/>
      <c r="B60" s="291" t="s">
        <v>485</v>
      </c>
      <c r="C60" s="245" t="s">
        <v>258</v>
      </c>
      <c r="D60" s="245"/>
      <c r="E60" s="339">
        <v>25205000</v>
      </c>
      <c r="F60" s="339">
        <f>F61</f>
        <v>10000000</v>
      </c>
      <c r="G60" s="242">
        <f t="shared" si="3"/>
        <v>-15205000</v>
      </c>
      <c r="H60" s="340">
        <f t="shared" si="4"/>
        <v>-60.325332275342191</v>
      </c>
      <c r="I60" s="1514"/>
      <c r="J60" s="1515"/>
      <c r="K60" s="1515"/>
      <c r="L60" s="1515"/>
      <c r="M60" s="1515"/>
      <c r="N60" s="1515"/>
      <c r="O60" s="1515"/>
      <c r="P60" s="1515"/>
      <c r="Q60" s="1515"/>
      <c r="R60" s="1516"/>
      <c r="T60" s="11"/>
    </row>
    <row r="61" spans="1:20" s="22" customFormat="1" ht="24" customHeight="1" x14ac:dyDescent="0.15">
      <c r="A61" s="279"/>
      <c r="B61" s="280"/>
      <c r="C61" s="281" t="s">
        <v>485</v>
      </c>
      <c r="D61" s="281"/>
      <c r="E61" s="359">
        <v>25205000</v>
      </c>
      <c r="F61" s="359">
        <v>10000000</v>
      </c>
      <c r="G61" s="360">
        <f t="shared" si="3"/>
        <v>-15205000</v>
      </c>
      <c r="H61" s="367">
        <f t="shared" si="4"/>
        <v>-60.325332275342191</v>
      </c>
      <c r="I61" s="1517"/>
      <c r="J61" s="1518"/>
      <c r="K61" s="1518"/>
      <c r="L61" s="1518"/>
      <c r="M61" s="1518"/>
      <c r="N61" s="1518"/>
      <c r="O61" s="1518"/>
      <c r="P61" s="1518"/>
      <c r="Q61" s="1518"/>
      <c r="R61" s="1519"/>
      <c r="T61" s="11"/>
    </row>
    <row r="62" spans="1:20" s="22" customFormat="1" ht="16.5" customHeight="1" x14ac:dyDescent="0.15">
      <c r="A62" s="368"/>
      <c r="B62" s="368"/>
      <c r="C62" s="369"/>
      <c r="D62" s="369"/>
      <c r="E62" s="370"/>
      <c r="F62" s="370"/>
      <c r="G62" s="371"/>
      <c r="H62" s="372"/>
      <c r="I62" s="373"/>
      <c r="J62" s="374"/>
      <c r="K62" s="374"/>
      <c r="L62" s="374"/>
      <c r="M62" s="374"/>
      <c r="N62" s="374"/>
      <c r="O62" s="374"/>
      <c r="P62" s="374"/>
      <c r="Q62" s="374"/>
      <c r="R62" s="374"/>
      <c r="T62" s="11"/>
    </row>
    <row r="63" spans="1:20" s="22" customFormat="1" ht="12" customHeight="1" x14ac:dyDescent="0.15">
      <c r="E63" s="171"/>
      <c r="G63" s="375"/>
      <c r="J63" s="376"/>
      <c r="K63" s="376"/>
      <c r="L63" s="376"/>
      <c r="M63" s="376"/>
      <c r="N63" s="376"/>
      <c r="O63" s="376"/>
      <c r="P63" s="376"/>
      <c r="R63" s="376"/>
      <c r="T63" s="11"/>
    </row>
    <row r="64" spans="1:20" s="22" customFormat="1" ht="12" customHeight="1" x14ac:dyDescent="0.15">
      <c r="E64" s="171"/>
      <c r="G64" s="375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5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5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5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5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5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2" customHeight="1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2" customHeight="1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2" customHeight="1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2" customHeight="1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2" customHeight="1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2" customHeight="1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2" customHeight="1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2" customHeight="1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2" customHeight="1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2" customHeight="1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2" customHeight="1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2" customHeight="1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2" customHeight="1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2" customHeight="1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2" customHeight="1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2" customHeight="1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2" customHeight="1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2" customHeight="1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2" customHeight="1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2" customHeight="1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2" customHeight="1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2" customHeight="1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  <row r="211" spans="5:20" s="22" customFormat="1" ht="10.5" x14ac:dyDescent="0.15">
      <c r="E211" s="171"/>
      <c r="G211" s="377"/>
      <c r="J211" s="376"/>
      <c r="K211" s="376"/>
      <c r="L211" s="376"/>
      <c r="M211" s="376"/>
      <c r="N211" s="376"/>
      <c r="O211" s="376"/>
      <c r="P211" s="376"/>
      <c r="R211" s="376"/>
      <c r="T211" s="11"/>
    </row>
    <row r="212" spans="5:20" s="22" customFormat="1" ht="10.5" x14ac:dyDescent="0.15">
      <c r="E212" s="171"/>
      <c r="G212" s="377"/>
      <c r="J212" s="376"/>
      <c r="K212" s="376"/>
      <c r="L212" s="376"/>
      <c r="M212" s="376"/>
      <c r="N212" s="376"/>
      <c r="O212" s="376"/>
      <c r="P212" s="376"/>
      <c r="R212" s="376"/>
      <c r="T212" s="11"/>
    </row>
    <row r="213" spans="5:20" s="22" customFormat="1" ht="10.5" x14ac:dyDescent="0.15">
      <c r="E213" s="171"/>
      <c r="G213" s="377"/>
      <c r="J213" s="376"/>
      <c r="K213" s="376"/>
      <c r="L213" s="376"/>
      <c r="M213" s="376"/>
      <c r="N213" s="376"/>
      <c r="O213" s="376"/>
      <c r="P213" s="376"/>
      <c r="R213" s="376"/>
      <c r="T213" s="11"/>
    </row>
    <row r="214" spans="5:20" s="22" customFormat="1" ht="10.5" x14ac:dyDescent="0.15">
      <c r="E214" s="171"/>
      <c r="G214" s="377"/>
      <c r="J214" s="376"/>
      <c r="K214" s="376"/>
      <c r="L214" s="376"/>
      <c r="M214" s="376"/>
      <c r="N214" s="376"/>
      <c r="O214" s="376"/>
      <c r="P214" s="376"/>
      <c r="R214" s="376"/>
      <c r="T214" s="11"/>
    </row>
    <row r="215" spans="5:20" s="22" customFormat="1" ht="10.5" x14ac:dyDescent="0.15">
      <c r="E215" s="171"/>
      <c r="G215" s="377"/>
      <c r="J215" s="376"/>
      <c r="K215" s="376"/>
      <c r="L215" s="376"/>
      <c r="M215" s="376"/>
      <c r="N215" s="376"/>
      <c r="O215" s="376"/>
      <c r="P215" s="376"/>
      <c r="R215" s="376"/>
      <c r="T215" s="11"/>
    </row>
    <row r="216" spans="5:20" s="22" customFormat="1" ht="10.5" x14ac:dyDescent="0.15">
      <c r="E216" s="171"/>
      <c r="G216" s="377"/>
      <c r="J216" s="376"/>
      <c r="K216" s="376"/>
      <c r="L216" s="376"/>
      <c r="M216" s="376"/>
      <c r="N216" s="376"/>
      <c r="O216" s="376"/>
      <c r="P216" s="376"/>
      <c r="R216" s="376"/>
      <c r="T216" s="11"/>
    </row>
    <row r="217" spans="5:20" s="22" customFormat="1" ht="10.5" x14ac:dyDescent="0.15">
      <c r="E217" s="171"/>
      <c r="G217" s="377"/>
      <c r="J217" s="376"/>
      <c r="K217" s="376"/>
      <c r="L217" s="376"/>
      <c r="M217" s="376"/>
      <c r="N217" s="376"/>
      <c r="O217" s="376"/>
      <c r="P217" s="376"/>
      <c r="R217" s="376"/>
      <c r="T217" s="11"/>
    </row>
    <row r="218" spans="5:20" s="22" customFormat="1" ht="10.5" x14ac:dyDescent="0.15">
      <c r="E218" s="171"/>
      <c r="G218" s="377"/>
      <c r="J218" s="376"/>
      <c r="K218" s="376"/>
      <c r="L218" s="376"/>
      <c r="M218" s="376"/>
      <c r="N218" s="376"/>
      <c r="O218" s="376"/>
      <c r="P218" s="376"/>
      <c r="R218" s="376"/>
      <c r="T218" s="11"/>
    </row>
    <row r="219" spans="5:20" s="22" customFormat="1" ht="10.5" x14ac:dyDescent="0.15">
      <c r="E219" s="171"/>
      <c r="G219" s="377"/>
      <c r="J219" s="376"/>
      <c r="K219" s="376"/>
      <c r="L219" s="376"/>
      <c r="M219" s="376"/>
      <c r="N219" s="376"/>
      <c r="O219" s="376"/>
      <c r="P219" s="376"/>
      <c r="R219" s="376"/>
      <c r="T219" s="11"/>
    </row>
    <row r="220" spans="5:20" s="22" customFormat="1" ht="10.5" x14ac:dyDescent="0.15">
      <c r="E220" s="171"/>
      <c r="G220" s="377"/>
      <c r="J220" s="376"/>
      <c r="K220" s="376"/>
      <c r="L220" s="376"/>
      <c r="M220" s="376"/>
      <c r="N220" s="376"/>
      <c r="O220" s="376"/>
      <c r="P220" s="376"/>
      <c r="R220" s="376"/>
      <c r="T220" s="11"/>
    </row>
    <row r="221" spans="5:20" s="22" customFormat="1" ht="10.5" x14ac:dyDescent="0.15">
      <c r="E221" s="171"/>
      <c r="G221" s="377"/>
      <c r="J221" s="376"/>
      <c r="K221" s="376"/>
      <c r="L221" s="376"/>
      <c r="M221" s="376"/>
      <c r="N221" s="376"/>
      <c r="O221" s="376"/>
      <c r="P221" s="376"/>
      <c r="R221" s="376"/>
      <c r="T221" s="11"/>
    </row>
    <row r="222" spans="5:20" s="22" customFormat="1" ht="10.5" x14ac:dyDescent="0.15">
      <c r="E222" s="171"/>
      <c r="G222" s="377"/>
      <c r="J222" s="376"/>
      <c r="K222" s="376"/>
      <c r="L222" s="376"/>
      <c r="M222" s="376"/>
      <c r="N222" s="376"/>
      <c r="O222" s="376"/>
      <c r="P222" s="376"/>
      <c r="R222" s="376"/>
      <c r="T222" s="11"/>
    </row>
    <row r="223" spans="5:20" s="22" customFormat="1" ht="10.5" x14ac:dyDescent="0.15">
      <c r="E223" s="171"/>
      <c r="G223" s="377"/>
      <c r="J223" s="376"/>
      <c r="K223" s="376"/>
      <c r="L223" s="376"/>
      <c r="M223" s="376"/>
      <c r="N223" s="376"/>
      <c r="O223" s="376"/>
      <c r="P223" s="376"/>
      <c r="R223" s="376"/>
      <c r="T223" s="11"/>
    </row>
    <row r="224" spans="5:20" s="22" customFormat="1" ht="10.5" x14ac:dyDescent="0.15">
      <c r="E224" s="171"/>
      <c r="G224" s="377"/>
      <c r="J224" s="376"/>
      <c r="K224" s="376"/>
      <c r="L224" s="376"/>
      <c r="M224" s="376"/>
      <c r="N224" s="376"/>
      <c r="O224" s="376"/>
      <c r="P224" s="376"/>
      <c r="R224" s="376"/>
      <c r="T224" s="11"/>
    </row>
    <row r="225" spans="5:20" s="22" customFormat="1" ht="10.5" x14ac:dyDescent="0.15">
      <c r="E225" s="171"/>
      <c r="G225" s="377"/>
      <c r="J225" s="376"/>
      <c r="K225" s="376"/>
      <c r="L225" s="376"/>
      <c r="M225" s="376"/>
      <c r="N225" s="376"/>
      <c r="O225" s="376"/>
      <c r="P225" s="376"/>
      <c r="R225" s="376"/>
      <c r="T225" s="11"/>
    </row>
    <row r="226" spans="5:20" s="22" customFormat="1" ht="10.5" x14ac:dyDescent="0.15">
      <c r="E226" s="171"/>
      <c r="G226" s="377"/>
      <c r="J226" s="376"/>
      <c r="K226" s="376"/>
      <c r="L226" s="376"/>
      <c r="M226" s="376"/>
      <c r="N226" s="376"/>
      <c r="O226" s="376"/>
      <c r="P226" s="376"/>
      <c r="R226" s="376"/>
      <c r="T226" s="11"/>
    </row>
    <row r="227" spans="5:20" s="22" customFormat="1" ht="10.5" x14ac:dyDescent="0.15">
      <c r="E227" s="171"/>
      <c r="G227" s="377"/>
      <c r="J227" s="376"/>
      <c r="K227" s="376"/>
      <c r="L227" s="376"/>
      <c r="M227" s="376"/>
      <c r="N227" s="376"/>
      <c r="O227" s="376"/>
      <c r="P227" s="376"/>
      <c r="R227" s="376"/>
      <c r="T227" s="11"/>
    </row>
    <row r="228" spans="5:20" s="22" customFormat="1" ht="10.5" x14ac:dyDescent="0.15">
      <c r="E228" s="171"/>
      <c r="G228" s="377"/>
      <c r="J228" s="376"/>
      <c r="K228" s="376"/>
      <c r="L228" s="376"/>
      <c r="M228" s="376"/>
      <c r="N228" s="376"/>
      <c r="O228" s="376"/>
      <c r="P228" s="376"/>
      <c r="R228" s="376"/>
      <c r="T228" s="11"/>
    </row>
    <row r="229" spans="5:20" s="22" customFormat="1" ht="10.5" x14ac:dyDescent="0.15">
      <c r="E229" s="171"/>
      <c r="G229" s="377"/>
      <c r="J229" s="376"/>
      <c r="K229" s="376"/>
      <c r="L229" s="376"/>
      <c r="M229" s="376"/>
      <c r="N229" s="376"/>
      <c r="O229" s="376"/>
      <c r="P229" s="376"/>
      <c r="R229" s="376"/>
      <c r="T229" s="11"/>
    </row>
    <row r="230" spans="5:20" s="22" customFormat="1" ht="10.5" x14ac:dyDescent="0.15">
      <c r="E230" s="171"/>
      <c r="G230" s="377"/>
      <c r="J230" s="376"/>
      <c r="K230" s="376"/>
      <c r="L230" s="376"/>
      <c r="M230" s="376"/>
      <c r="N230" s="376"/>
      <c r="O230" s="376"/>
      <c r="P230" s="376"/>
      <c r="R230" s="376"/>
      <c r="T230" s="11"/>
    </row>
    <row r="231" spans="5:20" s="22" customFormat="1" ht="10.5" x14ac:dyDescent="0.15">
      <c r="E231" s="171"/>
      <c r="G231" s="377"/>
      <c r="J231" s="376"/>
      <c r="K231" s="376"/>
      <c r="L231" s="376"/>
      <c r="M231" s="376"/>
      <c r="N231" s="376"/>
      <c r="O231" s="376"/>
      <c r="P231" s="376"/>
      <c r="R231" s="376"/>
      <c r="T231" s="11"/>
    </row>
    <row r="232" spans="5:20" s="22" customFormat="1" ht="10.5" x14ac:dyDescent="0.15">
      <c r="E232" s="171"/>
      <c r="G232" s="377"/>
      <c r="J232" s="376"/>
      <c r="K232" s="376"/>
      <c r="L232" s="376"/>
      <c r="M232" s="376"/>
      <c r="N232" s="376"/>
      <c r="O232" s="376"/>
      <c r="P232" s="376"/>
      <c r="R232" s="376"/>
      <c r="T232" s="11"/>
    </row>
  </sheetData>
  <mergeCells count="66">
    <mergeCell ref="I9:Q9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B7:C7"/>
    <mergeCell ref="I7:P7"/>
    <mergeCell ref="I8:R8"/>
    <mergeCell ref="I21:R21"/>
    <mergeCell ref="I10:Q10"/>
    <mergeCell ref="I11:Q11"/>
    <mergeCell ref="I12:Q12"/>
    <mergeCell ref="I13:R13"/>
    <mergeCell ref="I14:Q14"/>
    <mergeCell ref="I15:R15"/>
    <mergeCell ref="I16:R16"/>
    <mergeCell ref="I17:R17"/>
    <mergeCell ref="I18:R18"/>
    <mergeCell ref="I19:R19"/>
    <mergeCell ref="O20:Q20"/>
    <mergeCell ref="B36:C36"/>
    <mergeCell ref="I36:R36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34:R34"/>
    <mergeCell ref="I35:R35"/>
    <mergeCell ref="I37:R37"/>
    <mergeCell ref="I38:R38"/>
    <mergeCell ref="I39:R39"/>
    <mergeCell ref="I40:R40"/>
    <mergeCell ref="B41:C41"/>
    <mergeCell ref="I41:R41"/>
    <mergeCell ref="I53:R53"/>
    <mergeCell ref="I42:R42"/>
    <mergeCell ref="I43:R43"/>
    <mergeCell ref="I44:R44"/>
    <mergeCell ref="I45:R45"/>
    <mergeCell ref="I46:R46"/>
    <mergeCell ref="I47:R47"/>
    <mergeCell ref="I48:R48"/>
    <mergeCell ref="I49:R49"/>
    <mergeCell ref="I50:R50"/>
    <mergeCell ref="I51:R51"/>
    <mergeCell ref="I52:R52"/>
    <mergeCell ref="B59:C59"/>
    <mergeCell ref="I59:R59"/>
    <mergeCell ref="I60:R60"/>
    <mergeCell ref="I61:R61"/>
    <mergeCell ref="I54:R54"/>
    <mergeCell ref="I55:R55"/>
    <mergeCell ref="B56:C56"/>
    <mergeCell ref="I56:R56"/>
    <mergeCell ref="I57:R57"/>
    <mergeCell ref="I58:R58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22"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9.25" style="378" customWidth="1"/>
    <col min="18" max="18" width="3.625" style="381" customWidth="1"/>
    <col min="19" max="19" width="10" style="378" hidden="1" customWidth="1"/>
    <col min="20" max="20" width="13" style="12" hidden="1" customWidth="1"/>
    <col min="21" max="21" width="14.125" style="378" hidden="1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486</v>
      </c>
      <c r="B1" s="288"/>
      <c r="C1" s="319"/>
      <c r="D1" s="320"/>
      <c r="G1" s="321"/>
      <c r="T1" s="6"/>
    </row>
    <row r="2" spans="1:37" s="29" customFormat="1" ht="16.5" customHeight="1" x14ac:dyDescent="0.15">
      <c r="A2" s="1560" t="s">
        <v>487</v>
      </c>
      <c r="B2" s="1560"/>
      <c r="C2" s="1560"/>
      <c r="D2" s="1560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82" t="s">
        <v>488</v>
      </c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561" t="s">
        <v>244</v>
      </c>
      <c r="R3" s="1561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562" t="s">
        <v>247</v>
      </c>
      <c r="B4" s="1563"/>
      <c r="C4" s="1563"/>
      <c r="D4" s="1564"/>
      <c r="E4" s="1565" t="str">
        <f>'[1]다-3.후원금세입'!D4:D5</f>
        <v>당초예산
( A )</v>
      </c>
      <c r="F4" s="1567" t="str">
        <f>'[1]다-3.후원금세입'!E4:E5</f>
        <v>1차추경
( B )</v>
      </c>
      <c r="G4" s="1569" t="s">
        <v>406</v>
      </c>
      <c r="H4" s="1569"/>
      <c r="I4" s="1570" t="s">
        <v>435</v>
      </c>
      <c r="J4" s="1571"/>
      <c r="K4" s="1571"/>
      <c r="L4" s="1571"/>
      <c r="M4" s="1571"/>
      <c r="N4" s="1571"/>
      <c r="O4" s="1571"/>
      <c r="P4" s="1571"/>
      <c r="Q4" s="1571"/>
      <c r="R4" s="1572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428</v>
      </c>
      <c r="E5" s="1566"/>
      <c r="F5" s="1568"/>
      <c r="G5" s="250" t="s">
        <v>251</v>
      </c>
      <c r="H5" s="251" t="s">
        <v>252</v>
      </c>
      <c r="I5" s="1573"/>
      <c r="J5" s="1574"/>
      <c r="K5" s="1574"/>
      <c r="L5" s="1574"/>
      <c r="M5" s="1574"/>
      <c r="N5" s="1574"/>
      <c r="O5" s="1574"/>
      <c r="P5" s="1574"/>
      <c r="Q5" s="1574"/>
      <c r="R5" s="1575"/>
      <c r="T5" s="9"/>
      <c r="U5" s="327"/>
    </row>
    <row r="6" spans="1:37" s="21" customFormat="1" ht="29.25" customHeight="1" thickTop="1" x14ac:dyDescent="0.15">
      <c r="A6" s="1576" t="s">
        <v>438</v>
      </c>
      <c r="B6" s="1577"/>
      <c r="C6" s="1577"/>
      <c r="D6" s="328"/>
      <c r="E6" s="329">
        <v>207420000</v>
      </c>
      <c r="F6" s="329">
        <f>SUM(F7,F20,F34,F37)</f>
        <v>204700000</v>
      </c>
      <c r="G6" s="330">
        <f>F6-E6</f>
        <v>-2720000</v>
      </c>
      <c r="H6" s="331">
        <f>G6/E6*100</f>
        <v>-1.3113489538135186</v>
      </c>
      <c r="I6" s="1578"/>
      <c r="J6" s="1579"/>
      <c r="K6" s="1579"/>
      <c r="L6" s="1579"/>
      <c r="M6" s="1579"/>
      <c r="N6" s="1579"/>
      <c r="O6" s="1579"/>
      <c r="P6" s="1579"/>
      <c r="Q6" s="1579"/>
      <c r="R6" s="1580"/>
      <c r="T6" s="10"/>
      <c r="U6" s="332"/>
    </row>
    <row r="7" spans="1:37" s="22" customFormat="1" ht="26.25" customHeight="1" x14ac:dyDescent="0.15">
      <c r="A7" s="383" t="s">
        <v>256</v>
      </c>
      <c r="B7" s="301" t="s">
        <v>259</v>
      </c>
      <c r="C7" s="384" t="s">
        <v>255</v>
      </c>
      <c r="D7" s="334"/>
      <c r="E7" s="335">
        <v>155111300</v>
      </c>
      <c r="F7" s="335">
        <f>F8+F9+F14+F15</f>
        <v>155850630</v>
      </c>
      <c r="G7" s="242">
        <f>F7-E7</f>
        <v>739330</v>
      </c>
      <c r="H7" s="340">
        <f t="shared" ref="H7:H39" si="0">G7/E7*100</f>
        <v>0.47664483503136135</v>
      </c>
      <c r="I7" s="1588"/>
      <c r="J7" s="1589"/>
      <c r="K7" s="1589"/>
      <c r="L7" s="1589"/>
      <c r="M7" s="1589"/>
      <c r="N7" s="1589"/>
      <c r="O7" s="1589"/>
      <c r="P7" s="1589"/>
      <c r="Q7" s="1589"/>
      <c r="R7" s="1590"/>
      <c r="T7" s="11">
        <f>F7-F13</f>
        <v>129367580</v>
      </c>
      <c r="U7" s="22" t="s">
        <v>392</v>
      </c>
    </row>
    <row r="8" spans="1:37" s="22" customFormat="1" ht="26.25" customHeight="1" x14ac:dyDescent="0.15">
      <c r="A8" s="385"/>
      <c r="B8" s="341"/>
      <c r="C8" s="245" t="s">
        <v>74</v>
      </c>
      <c r="D8" s="245"/>
      <c r="E8" s="347">
        <v>78161000</v>
      </c>
      <c r="F8" s="347">
        <f>'[1]인건비총계표(보조금)'!F676</f>
        <v>81016000</v>
      </c>
      <c r="G8" s="242">
        <f t="shared" ref="G8:G21" si="1">F8-E8</f>
        <v>2855000</v>
      </c>
      <c r="H8" s="340">
        <f t="shared" si="0"/>
        <v>3.6527168280856186</v>
      </c>
      <c r="I8" s="1545" t="s">
        <v>489</v>
      </c>
      <c r="J8" s="1546"/>
      <c r="K8" s="1546"/>
      <c r="L8" s="1546"/>
      <c r="M8" s="1546"/>
      <c r="N8" s="1546"/>
      <c r="O8" s="1546"/>
      <c r="P8" s="1546"/>
      <c r="Q8" s="1546"/>
      <c r="R8" s="1547"/>
      <c r="T8" s="11"/>
    </row>
    <row r="9" spans="1:37" s="22" customFormat="1" ht="26.25" customHeight="1" x14ac:dyDescent="0.15">
      <c r="A9" s="385"/>
      <c r="B9" s="273"/>
      <c r="C9" s="245" t="s">
        <v>62</v>
      </c>
      <c r="D9" s="245" t="s">
        <v>258</v>
      </c>
      <c r="E9" s="347">
        <v>57149600</v>
      </c>
      <c r="F9" s="347">
        <f>SUM(F10:F13)</f>
        <v>54712250</v>
      </c>
      <c r="G9" s="242">
        <f t="shared" si="1"/>
        <v>-2437350</v>
      </c>
      <c r="H9" s="340">
        <f t="shared" si="0"/>
        <v>-4.2648592466088999</v>
      </c>
      <c r="I9" s="1545" t="s">
        <v>489</v>
      </c>
      <c r="J9" s="1546"/>
      <c r="K9" s="1546"/>
      <c r="L9" s="1546"/>
      <c r="M9" s="1546"/>
      <c r="N9" s="1546"/>
      <c r="O9" s="1546"/>
      <c r="P9" s="1546"/>
      <c r="Q9" s="1546"/>
      <c r="R9" s="1547"/>
      <c r="T9" s="11"/>
      <c r="AB9" s="171"/>
      <c r="AC9" s="171"/>
    </row>
    <row r="10" spans="1:37" s="22" customFormat="1" ht="26.25" customHeight="1" x14ac:dyDescent="0.15">
      <c r="A10" s="385"/>
      <c r="B10" s="273"/>
      <c r="C10" s="344"/>
      <c r="D10" s="301" t="s">
        <v>441</v>
      </c>
      <c r="E10" s="347">
        <v>7817400</v>
      </c>
      <c r="F10" s="347">
        <f>'[1]인건비총계표(보조금)'!M676</f>
        <v>8104800</v>
      </c>
      <c r="G10" s="242">
        <f t="shared" si="1"/>
        <v>287400</v>
      </c>
      <c r="H10" s="340">
        <f t="shared" si="0"/>
        <v>3.6764141530432113</v>
      </c>
      <c r="I10" s="1545"/>
      <c r="J10" s="1546"/>
      <c r="K10" s="1546"/>
      <c r="L10" s="1546"/>
      <c r="M10" s="1546"/>
      <c r="N10" s="1546"/>
      <c r="O10" s="1546"/>
      <c r="P10" s="1546"/>
      <c r="Q10" s="1546"/>
      <c r="R10" s="1547"/>
      <c r="T10" s="11"/>
    </row>
    <row r="11" spans="1:37" s="22" customFormat="1" ht="26.25" customHeight="1" x14ac:dyDescent="0.15">
      <c r="A11" s="385"/>
      <c r="B11" s="273"/>
      <c r="C11" s="344"/>
      <c r="D11" s="291" t="s">
        <v>442</v>
      </c>
      <c r="E11" s="347">
        <v>21756400</v>
      </c>
      <c r="F11" s="347">
        <f>'[1]인건비총계표(보조금)'!R676</f>
        <v>18924400</v>
      </c>
      <c r="G11" s="242">
        <f t="shared" si="1"/>
        <v>-2832000</v>
      </c>
      <c r="H11" s="340">
        <f t="shared" si="0"/>
        <v>-13.016859406887168</v>
      </c>
      <c r="I11" s="1545"/>
      <c r="J11" s="1546"/>
      <c r="K11" s="1546"/>
      <c r="L11" s="1546"/>
      <c r="M11" s="1546"/>
      <c r="N11" s="1546"/>
      <c r="O11" s="1546"/>
      <c r="P11" s="1546"/>
      <c r="Q11" s="1546"/>
      <c r="R11" s="1547"/>
      <c r="T11" s="11"/>
    </row>
    <row r="12" spans="1:37" s="22" customFormat="1" ht="26.25" customHeight="1" x14ac:dyDescent="0.15">
      <c r="A12" s="385"/>
      <c r="B12" s="273"/>
      <c r="C12" s="273"/>
      <c r="D12" s="245" t="s">
        <v>443</v>
      </c>
      <c r="E12" s="347">
        <v>1200000</v>
      </c>
      <c r="F12" s="347">
        <f>'[1]인건비총계표(보조금)'!O676</f>
        <v>1200000</v>
      </c>
      <c r="G12" s="242">
        <f t="shared" si="1"/>
        <v>0</v>
      </c>
      <c r="H12" s="340">
        <f t="shared" si="0"/>
        <v>0</v>
      </c>
      <c r="I12" s="1545"/>
      <c r="J12" s="1546"/>
      <c r="K12" s="1546"/>
      <c r="L12" s="1546"/>
      <c r="M12" s="1546"/>
      <c r="N12" s="1546"/>
      <c r="O12" s="1546"/>
      <c r="P12" s="1546"/>
      <c r="Q12" s="1546"/>
      <c r="R12" s="1547"/>
      <c r="T12" s="11"/>
    </row>
    <row r="13" spans="1:37" s="22" customFormat="1" ht="26.25" customHeight="1" x14ac:dyDescent="0.15">
      <c r="A13" s="344"/>
      <c r="B13" s="273"/>
      <c r="D13" s="301" t="s">
        <v>490</v>
      </c>
      <c r="E13" s="339">
        <v>26375800</v>
      </c>
      <c r="F13" s="339">
        <f>'[1]인건비총계표(보조금)'!S5+'[1]인건비총계표(보조금)'!S676</f>
        <v>26483050</v>
      </c>
      <c r="G13" s="242">
        <f>F13-E13</f>
        <v>107250</v>
      </c>
      <c r="H13" s="340">
        <f t="shared" si="0"/>
        <v>0.40662273750938355</v>
      </c>
      <c r="I13" s="1545"/>
      <c r="J13" s="1546"/>
      <c r="K13" s="1546"/>
      <c r="L13" s="1546"/>
      <c r="M13" s="1546"/>
      <c r="N13" s="1546"/>
      <c r="O13" s="1546"/>
      <c r="P13" s="1546"/>
      <c r="Q13" s="1546"/>
      <c r="R13" s="1547"/>
      <c r="T13" s="11"/>
    </row>
    <row r="14" spans="1:37" s="22" customFormat="1" ht="26.25" customHeight="1" x14ac:dyDescent="0.15">
      <c r="A14" s="385"/>
      <c r="B14" s="273"/>
      <c r="C14" s="301" t="s">
        <v>444</v>
      </c>
      <c r="D14" s="301"/>
      <c r="E14" s="347">
        <v>9178460</v>
      </c>
      <c r="F14" s="347">
        <f>'[1]인건비총계표(보조금)'!W676</f>
        <v>9209190</v>
      </c>
      <c r="G14" s="242">
        <f t="shared" si="1"/>
        <v>30730</v>
      </c>
      <c r="H14" s="340">
        <f t="shared" si="0"/>
        <v>0.33480562098652716</v>
      </c>
      <c r="I14" s="1545"/>
      <c r="J14" s="1546"/>
      <c r="K14" s="1546"/>
      <c r="L14" s="1546"/>
      <c r="M14" s="1546"/>
      <c r="N14" s="1546"/>
      <c r="O14" s="1546"/>
      <c r="P14" s="1546"/>
      <c r="Q14" s="1546"/>
      <c r="R14" s="1547"/>
      <c r="T14" s="11"/>
    </row>
    <row r="15" spans="1:37" s="22" customFormat="1" ht="26.25" customHeight="1" x14ac:dyDescent="0.15">
      <c r="A15" s="385"/>
      <c r="B15" s="273"/>
      <c r="C15" s="345" t="s">
        <v>445</v>
      </c>
      <c r="D15" s="346" t="s">
        <v>258</v>
      </c>
      <c r="E15" s="347">
        <v>10622240</v>
      </c>
      <c r="F15" s="347">
        <f>SUM(F16:F19)</f>
        <v>10913190</v>
      </c>
      <c r="G15" s="242">
        <f t="shared" si="1"/>
        <v>290950</v>
      </c>
      <c r="H15" s="340">
        <f t="shared" si="0"/>
        <v>2.7390644534486133</v>
      </c>
      <c r="I15" s="1545"/>
      <c r="J15" s="1546"/>
      <c r="K15" s="1546"/>
      <c r="L15" s="1546"/>
      <c r="M15" s="1546"/>
      <c r="N15" s="1546"/>
      <c r="O15" s="1546"/>
      <c r="P15" s="1546"/>
      <c r="Q15" s="1546"/>
      <c r="R15" s="1547"/>
      <c r="T15" s="11"/>
    </row>
    <row r="16" spans="1:37" s="22" customFormat="1" ht="26.25" customHeight="1" x14ac:dyDescent="0.15">
      <c r="A16" s="385"/>
      <c r="B16" s="273"/>
      <c r="C16" s="341"/>
      <c r="D16" s="341" t="s">
        <v>446</v>
      </c>
      <c r="E16" s="347">
        <v>3814500</v>
      </c>
      <c r="F16" s="347">
        <f>'[1]인건비총계표(보조금)'!Y676+'[1]인건비총계표(보조금)'!Z676</f>
        <v>4056970</v>
      </c>
      <c r="G16" s="242">
        <f t="shared" si="1"/>
        <v>242470</v>
      </c>
      <c r="H16" s="340">
        <f t="shared" si="0"/>
        <v>6.3565342771005371</v>
      </c>
      <c r="I16" s="1545"/>
      <c r="J16" s="1546"/>
      <c r="K16" s="1546"/>
      <c r="L16" s="1546"/>
      <c r="M16" s="1546"/>
      <c r="N16" s="1546"/>
      <c r="O16" s="1546"/>
      <c r="P16" s="1546"/>
      <c r="Q16" s="1546"/>
      <c r="R16" s="1547"/>
      <c r="T16" s="11"/>
    </row>
    <row r="17" spans="1:20" s="22" customFormat="1" ht="26.25" customHeight="1" x14ac:dyDescent="0.15">
      <c r="A17" s="385"/>
      <c r="B17" s="273"/>
      <c r="C17" s="344"/>
      <c r="D17" s="301" t="s">
        <v>448</v>
      </c>
      <c r="E17" s="347">
        <v>4935400</v>
      </c>
      <c r="F17" s="347">
        <f>'[1]인건비총계표(보조금)'!X676</f>
        <v>4977540</v>
      </c>
      <c r="G17" s="242">
        <f t="shared" si="1"/>
        <v>42140</v>
      </c>
      <c r="H17" s="340">
        <f t="shared" si="0"/>
        <v>0.85383150301900546</v>
      </c>
      <c r="I17" s="1545"/>
      <c r="J17" s="1546"/>
      <c r="K17" s="1546"/>
      <c r="L17" s="1546"/>
      <c r="M17" s="1546"/>
      <c r="N17" s="1546"/>
      <c r="O17" s="1546"/>
      <c r="P17" s="1546"/>
      <c r="Q17" s="1546"/>
      <c r="R17" s="1547"/>
      <c r="T17" s="11"/>
    </row>
    <row r="18" spans="1:20" s="22" customFormat="1" ht="26.25" customHeight="1" x14ac:dyDescent="0.15">
      <c r="A18" s="385"/>
      <c r="B18" s="273"/>
      <c r="C18" s="273"/>
      <c r="D18" s="245" t="s">
        <v>450</v>
      </c>
      <c r="E18" s="347">
        <v>991240</v>
      </c>
      <c r="F18" s="347">
        <f>'[1]인건비총계표(보조금)'!AA676</f>
        <v>994600</v>
      </c>
      <c r="G18" s="242">
        <f t="shared" si="1"/>
        <v>3360</v>
      </c>
      <c r="H18" s="340">
        <f t="shared" si="0"/>
        <v>0.33896937169605745</v>
      </c>
      <c r="I18" s="1545"/>
      <c r="J18" s="1546"/>
      <c r="K18" s="1546"/>
      <c r="L18" s="1546"/>
      <c r="M18" s="1546"/>
      <c r="N18" s="1546"/>
      <c r="O18" s="1546"/>
      <c r="P18" s="1546"/>
      <c r="Q18" s="1546"/>
      <c r="R18" s="1547"/>
      <c r="T18" s="11"/>
    </row>
    <row r="19" spans="1:20" s="22" customFormat="1" ht="26.25" customHeight="1" x14ac:dyDescent="0.15">
      <c r="A19" s="385"/>
      <c r="B19" s="273"/>
      <c r="C19" s="271"/>
      <c r="D19" s="245" t="s">
        <v>452</v>
      </c>
      <c r="E19" s="347">
        <v>881100</v>
      </c>
      <c r="F19" s="347">
        <f>'[1]인건비총계표(보조금)'!AB676</f>
        <v>884080</v>
      </c>
      <c r="G19" s="242">
        <f t="shared" si="1"/>
        <v>2980</v>
      </c>
      <c r="H19" s="340">
        <f t="shared" si="0"/>
        <v>0.33821359664056294</v>
      </c>
      <c r="I19" s="1545"/>
      <c r="J19" s="1546"/>
      <c r="K19" s="1546"/>
      <c r="L19" s="1546"/>
      <c r="M19" s="1546"/>
      <c r="N19" s="1546"/>
      <c r="O19" s="1546"/>
      <c r="P19" s="1546"/>
      <c r="Q19" s="1546"/>
      <c r="R19" s="1547"/>
      <c r="T19" s="11"/>
    </row>
    <row r="20" spans="1:20" s="22" customFormat="1" ht="26.25" customHeight="1" x14ac:dyDescent="0.15">
      <c r="A20" s="273" t="s">
        <v>283</v>
      </c>
      <c r="B20" s="1584" t="s">
        <v>255</v>
      </c>
      <c r="C20" s="1585"/>
      <c r="D20" s="301"/>
      <c r="E20" s="347">
        <v>46160000</v>
      </c>
      <c r="F20" s="347">
        <f>SUM(F21,F25,F31,F33)</f>
        <v>45440000</v>
      </c>
      <c r="G20" s="242">
        <f t="shared" si="1"/>
        <v>-720000</v>
      </c>
      <c r="H20" s="340"/>
      <c r="I20" s="386"/>
      <c r="J20" s="387"/>
      <c r="K20" s="387"/>
      <c r="L20" s="387"/>
      <c r="M20" s="387"/>
      <c r="N20" s="387"/>
      <c r="O20" s="387"/>
      <c r="P20" s="387"/>
      <c r="Q20" s="387"/>
      <c r="R20" s="388"/>
      <c r="T20" s="11"/>
    </row>
    <row r="21" spans="1:20" s="22" customFormat="1" ht="26.25" customHeight="1" x14ac:dyDescent="0.15">
      <c r="A21" s="385"/>
      <c r="B21" s="273"/>
      <c r="C21" s="301" t="s">
        <v>491</v>
      </c>
      <c r="D21" s="344" t="s">
        <v>258</v>
      </c>
      <c r="E21" s="347">
        <v>6600000</v>
      </c>
      <c r="F21" s="347">
        <f>SUM(F22:F24)</f>
        <v>6600000</v>
      </c>
      <c r="G21" s="242">
        <f t="shared" si="1"/>
        <v>0</v>
      </c>
      <c r="H21" s="340"/>
      <c r="I21" s="1545"/>
      <c r="J21" s="1546"/>
      <c r="K21" s="1546"/>
      <c r="L21" s="1546"/>
      <c r="M21" s="1546"/>
      <c r="N21" s="1546"/>
      <c r="O21" s="1546"/>
      <c r="P21" s="1546"/>
      <c r="Q21" s="1546"/>
      <c r="R21" s="1547"/>
      <c r="T21" s="11"/>
    </row>
    <row r="22" spans="1:20" s="22" customFormat="1" ht="26.25" customHeight="1" x14ac:dyDescent="0.15">
      <c r="A22" s="268"/>
      <c r="B22" s="273"/>
      <c r="C22" s="344"/>
      <c r="D22" s="301" t="s">
        <v>492</v>
      </c>
      <c r="E22" s="339">
        <v>3600000</v>
      </c>
      <c r="F22" s="339">
        <v>3600000</v>
      </c>
      <c r="G22" s="242">
        <f>F22-E22</f>
        <v>0</v>
      </c>
      <c r="H22" s="340">
        <f t="shared" si="0"/>
        <v>0</v>
      </c>
      <c r="I22" s="1514" t="s">
        <v>493</v>
      </c>
      <c r="J22" s="1520"/>
      <c r="K22" s="1520"/>
      <c r="L22" s="1520"/>
      <c r="M22" s="1520"/>
      <c r="N22" s="1520"/>
      <c r="O22" s="1520"/>
      <c r="P22" s="1520"/>
      <c r="Q22" s="1520"/>
      <c r="R22" s="1521"/>
      <c r="T22" s="11"/>
    </row>
    <row r="23" spans="1:20" s="22" customFormat="1" ht="26.25" hidden="1" customHeight="1" x14ac:dyDescent="0.15">
      <c r="A23" s="268"/>
      <c r="B23" s="273"/>
      <c r="C23" s="344"/>
      <c r="D23" s="291" t="s">
        <v>494</v>
      </c>
      <c r="E23" s="339">
        <v>0</v>
      </c>
      <c r="F23" s="339">
        <v>0</v>
      </c>
      <c r="G23" s="242">
        <f>F23-E23</f>
        <v>0</v>
      </c>
      <c r="H23" s="340" t="e">
        <f t="shared" si="0"/>
        <v>#DIV/0!</v>
      </c>
      <c r="I23" s="1514" t="s">
        <v>495</v>
      </c>
      <c r="J23" s="1586"/>
      <c r="K23" s="1586"/>
      <c r="L23" s="1586"/>
      <c r="M23" s="1586"/>
      <c r="N23" s="1586"/>
      <c r="O23" s="1586"/>
      <c r="P23" s="1586"/>
      <c r="Q23" s="1586"/>
      <c r="R23" s="1587"/>
      <c r="T23" s="11"/>
    </row>
    <row r="24" spans="1:20" s="22" customFormat="1" ht="22.5" customHeight="1" x14ac:dyDescent="0.15">
      <c r="A24" s="268"/>
      <c r="B24" s="273"/>
      <c r="C24" s="346"/>
      <c r="D24" s="301" t="s">
        <v>496</v>
      </c>
      <c r="E24" s="339">
        <v>3000000</v>
      </c>
      <c r="F24" s="339">
        <v>3000000</v>
      </c>
      <c r="G24" s="242">
        <f>F24-E24</f>
        <v>0</v>
      </c>
      <c r="H24" s="340">
        <f t="shared" si="0"/>
        <v>0</v>
      </c>
      <c r="I24" s="1514" t="s">
        <v>497</v>
      </c>
      <c r="J24" s="1586"/>
      <c r="K24" s="1586"/>
      <c r="L24" s="1586"/>
      <c r="M24" s="1586"/>
      <c r="N24" s="1586"/>
      <c r="O24" s="1586"/>
      <c r="P24" s="1586"/>
      <c r="Q24" s="1586"/>
      <c r="R24" s="1587"/>
      <c r="T24" s="11"/>
    </row>
    <row r="25" spans="1:20" s="22" customFormat="1" ht="22.5" customHeight="1" x14ac:dyDescent="0.15">
      <c r="A25" s="268"/>
      <c r="B25" s="273"/>
      <c r="C25" s="301" t="s">
        <v>498</v>
      </c>
      <c r="D25" s="301" t="s">
        <v>258</v>
      </c>
      <c r="E25" s="339">
        <v>32840000</v>
      </c>
      <c r="F25" s="339">
        <f>SUM(F26:F30)</f>
        <v>32840000</v>
      </c>
      <c r="G25" s="242">
        <f t="shared" ref="G25:G38" si="2">F25-E25</f>
        <v>0</v>
      </c>
      <c r="H25" s="340"/>
      <c r="I25" s="1514"/>
      <c r="J25" s="1586"/>
      <c r="K25" s="1586"/>
      <c r="L25" s="1586"/>
      <c r="M25" s="1586"/>
      <c r="N25" s="1586"/>
      <c r="O25" s="1586"/>
      <c r="P25" s="1586"/>
      <c r="Q25" s="1586"/>
      <c r="R25" s="1587"/>
      <c r="T25" s="11"/>
    </row>
    <row r="26" spans="1:20" s="22" customFormat="1" ht="22.5" customHeight="1" x14ac:dyDescent="0.15">
      <c r="A26" s="268"/>
      <c r="B26" s="273"/>
      <c r="C26" s="341"/>
      <c r="D26" s="301" t="s">
        <v>499</v>
      </c>
      <c r="E26" s="339">
        <v>14600000</v>
      </c>
      <c r="F26" s="339">
        <f>'[1]4종'!O5</f>
        <v>14600000</v>
      </c>
      <c r="G26" s="242">
        <f t="shared" si="2"/>
        <v>0</v>
      </c>
      <c r="H26" s="340"/>
      <c r="I26" s="1514" t="s">
        <v>500</v>
      </c>
      <c r="J26" s="1520"/>
      <c r="K26" s="1520"/>
      <c r="L26" s="1520"/>
      <c r="M26" s="1520"/>
      <c r="N26" s="1520"/>
      <c r="O26" s="1520"/>
      <c r="P26" s="1520"/>
      <c r="Q26" s="1520"/>
      <c r="R26" s="1521"/>
      <c r="T26" s="11"/>
    </row>
    <row r="27" spans="1:20" s="22" customFormat="1" ht="22.5" customHeight="1" x14ac:dyDescent="0.15">
      <c r="A27" s="268"/>
      <c r="B27" s="273"/>
      <c r="C27" s="344"/>
      <c r="D27" s="301" t="s">
        <v>501</v>
      </c>
      <c r="E27" s="339">
        <v>4800000</v>
      </c>
      <c r="F27" s="339">
        <f>'[1]4종'!O19</f>
        <v>4800000</v>
      </c>
      <c r="G27" s="242">
        <f t="shared" si="2"/>
        <v>0</v>
      </c>
      <c r="H27" s="340"/>
      <c r="I27" s="1514" t="s">
        <v>502</v>
      </c>
      <c r="J27" s="1520"/>
      <c r="K27" s="1520"/>
      <c r="L27" s="1520"/>
      <c r="M27" s="1520"/>
      <c r="N27" s="1520"/>
      <c r="O27" s="1520"/>
      <c r="P27" s="1520"/>
      <c r="Q27" s="1520"/>
      <c r="R27" s="1521"/>
      <c r="T27" s="11"/>
    </row>
    <row r="28" spans="1:20" s="22" customFormat="1" ht="22.5" customHeight="1" x14ac:dyDescent="0.15">
      <c r="A28" s="268"/>
      <c r="B28" s="273"/>
      <c r="C28" s="344"/>
      <c r="D28" s="301" t="s">
        <v>503</v>
      </c>
      <c r="E28" s="339">
        <v>6400000</v>
      </c>
      <c r="F28" s="339">
        <f>'[1]4종'!O34</f>
        <v>6400000</v>
      </c>
      <c r="G28" s="242">
        <f t="shared" si="2"/>
        <v>0</v>
      </c>
      <c r="H28" s="340"/>
      <c r="I28" s="1514" t="s">
        <v>504</v>
      </c>
      <c r="J28" s="1520"/>
      <c r="K28" s="1520"/>
      <c r="L28" s="1520"/>
      <c r="M28" s="1520"/>
      <c r="N28" s="1520"/>
      <c r="O28" s="1520"/>
      <c r="P28" s="1520"/>
      <c r="Q28" s="1520"/>
      <c r="R28" s="1521"/>
      <c r="T28" s="11"/>
    </row>
    <row r="29" spans="1:20" s="22" customFormat="1" ht="22.5" customHeight="1" x14ac:dyDescent="0.15">
      <c r="A29" s="268"/>
      <c r="B29" s="273"/>
      <c r="C29" s="344"/>
      <c r="D29" s="301" t="s">
        <v>505</v>
      </c>
      <c r="E29" s="339">
        <v>3840000</v>
      </c>
      <c r="F29" s="339">
        <f>'[1]4종'!O35</f>
        <v>3840000</v>
      </c>
      <c r="G29" s="242">
        <f t="shared" si="2"/>
        <v>0</v>
      </c>
      <c r="H29" s="340"/>
      <c r="I29" s="1514" t="s">
        <v>506</v>
      </c>
      <c r="J29" s="1520"/>
      <c r="K29" s="1520"/>
      <c r="L29" s="1520"/>
      <c r="M29" s="1520"/>
      <c r="N29" s="1520"/>
      <c r="O29" s="1520"/>
      <c r="P29" s="1520"/>
      <c r="Q29" s="1520"/>
      <c r="R29" s="1521"/>
      <c r="T29" s="11"/>
    </row>
    <row r="30" spans="1:20" s="22" customFormat="1" ht="22.5" customHeight="1" x14ac:dyDescent="0.15">
      <c r="A30" s="268"/>
      <c r="B30" s="273"/>
      <c r="C30" s="346"/>
      <c r="D30" s="301" t="s">
        <v>390</v>
      </c>
      <c r="E30" s="339">
        <v>3200000</v>
      </c>
      <c r="F30" s="339">
        <f>'[1]4종'!O41</f>
        <v>3200000</v>
      </c>
      <c r="G30" s="242">
        <f t="shared" si="2"/>
        <v>0</v>
      </c>
      <c r="H30" s="340"/>
      <c r="I30" s="1514" t="s">
        <v>507</v>
      </c>
      <c r="J30" s="1520"/>
      <c r="K30" s="1520"/>
      <c r="L30" s="1520"/>
      <c r="M30" s="1520"/>
      <c r="N30" s="1520"/>
      <c r="O30" s="1520"/>
      <c r="P30" s="1520"/>
      <c r="Q30" s="1520"/>
      <c r="R30" s="1521"/>
      <c r="T30" s="11"/>
    </row>
    <row r="31" spans="1:20" s="22" customFormat="1" ht="22.5" customHeight="1" x14ac:dyDescent="0.15">
      <c r="A31" s="268"/>
      <c r="B31" s="273"/>
      <c r="C31" s="301" t="s">
        <v>297</v>
      </c>
      <c r="D31" s="301" t="s">
        <v>258</v>
      </c>
      <c r="E31" s="339">
        <v>6720000</v>
      </c>
      <c r="F31" s="339">
        <v>6000000</v>
      </c>
      <c r="G31" s="242">
        <f t="shared" si="2"/>
        <v>-720000</v>
      </c>
      <c r="H31" s="340"/>
      <c r="I31" s="389"/>
      <c r="J31" s="390"/>
      <c r="K31" s="390"/>
      <c r="L31" s="390"/>
      <c r="M31" s="390"/>
      <c r="N31" s="390"/>
      <c r="O31" s="390"/>
      <c r="P31" s="390"/>
      <c r="Q31" s="390"/>
      <c r="R31" s="391"/>
      <c r="T31" s="11"/>
    </row>
    <row r="32" spans="1:20" s="22" customFormat="1" ht="22.5" customHeight="1" x14ac:dyDescent="0.15">
      <c r="A32" s="268"/>
      <c r="B32" s="273"/>
      <c r="C32" s="301"/>
      <c r="D32" s="301" t="s">
        <v>297</v>
      </c>
      <c r="E32" s="339">
        <v>6720000</v>
      </c>
      <c r="F32" s="339">
        <v>6720000</v>
      </c>
      <c r="G32" s="242">
        <f t="shared" si="2"/>
        <v>0</v>
      </c>
      <c r="H32" s="340"/>
      <c r="I32" s="1514"/>
      <c r="J32" s="1520"/>
      <c r="K32" s="1520"/>
      <c r="L32" s="1520"/>
      <c r="M32" s="1520"/>
      <c r="N32" s="1520"/>
      <c r="O32" s="1520"/>
      <c r="P32" s="1520"/>
      <c r="Q32" s="1520"/>
      <c r="R32" s="1521"/>
      <c r="T32" s="11"/>
    </row>
    <row r="33" spans="1:20" s="22" customFormat="1" ht="22.5" customHeight="1" x14ac:dyDescent="0.15">
      <c r="A33" s="268"/>
      <c r="B33" s="269"/>
      <c r="C33" s="301" t="s">
        <v>508</v>
      </c>
      <c r="D33" s="301" t="s">
        <v>509</v>
      </c>
      <c r="E33" s="339">
        <v>0</v>
      </c>
      <c r="F33" s="339"/>
      <c r="G33" s="242">
        <f t="shared" si="2"/>
        <v>0</v>
      </c>
      <c r="H33" s="340" t="e">
        <f>G33/E33*100</f>
        <v>#DIV/0!</v>
      </c>
      <c r="I33" s="1514" t="s">
        <v>510</v>
      </c>
      <c r="J33" s="1520"/>
      <c r="K33" s="1520"/>
      <c r="L33" s="1520"/>
      <c r="M33" s="1520"/>
      <c r="N33" s="1520"/>
      <c r="O33" s="1520"/>
      <c r="P33" s="1520"/>
      <c r="Q33" s="1520"/>
      <c r="R33" s="1521"/>
      <c r="T33" s="11"/>
    </row>
    <row r="34" spans="1:20" s="22" customFormat="1" ht="24" customHeight="1" x14ac:dyDescent="0.15">
      <c r="A34" s="256" t="s">
        <v>306</v>
      </c>
      <c r="B34" s="1584" t="s">
        <v>255</v>
      </c>
      <c r="C34" s="1585"/>
      <c r="D34" s="301"/>
      <c r="E34" s="339">
        <v>66700</v>
      </c>
      <c r="F34" s="339">
        <f>F35</f>
        <v>66180</v>
      </c>
      <c r="G34" s="242">
        <f>F34-E34</f>
        <v>-520</v>
      </c>
      <c r="H34" s="340">
        <f t="shared" si="0"/>
        <v>-0.77961019490254868</v>
      </c>
      <c r="I34" s="1525"/>
      <c r="J34" s="1526"/>
      <c r="K34" s="1526"/>
      <c r="L34" s="1526"/>
      <c r="M34" s="1526"/>
      <c r="N34" s="1526"/>
      <c r="O34" s="1526"/>
      <c r="P34" s="1526"/>
      <c r="Q34" s="1526"/>
      <c r="R34" s="1527"/>
      <c r="T34" s="11"/>
    </row>
    <row r="35" spans="1:20" s="22" customFormat="1" ht="24" customHeight="1" x14ac:dyDescent="0.15">
      <c r="A35" s="259"/>
      <c r="B35" s="245" t="s">
        <v>306</v>
      </c>
      <c r="C35" s="245" t="s">
        <v>258</v>
      </c>
      <c r="D35" s="245"/>
      <c r="E35" s="335">
        <v>66700</v>
      </c>
      <c r="F35" s="335">
        <f>F36</f>
        <v>66180</v>
      </c>
      <c r="G35" s="242">
        <f t="shared" si="2"/>
        <v>-520</v>
      </c>
      <c r="H35" s="340">
        <f t="shared" si="0"/>
        <v>-0.77961019490254868</v>
      </c>
      <c r="I35" s="1514"/>
      <c r="J35" s="1520"/>
      <c r="K35" s="1520"/>
      <c r="L35" s="1520"/>
      <c r="M35" s="1520"/>
      <c r="N35" s="1520"/>
      <c r="O35" s="1520"/>
      <c r="P35" s="1520"/>
      <c r="Q35" s="1520"/>
      <c r="R35" s="1521"/>
      <c r="T35" s="11"/>
    </row>
    <row r="36" spans="1:20" s="22" customFormat="1" ht="24" customHeight="1" x14ac:dyDescent="0.15">
      <c r="A36" s="261"/>
      <c r="B36" s="245"/>
      <c r="C36" s="245" t="s">
        <v>306</v>
      </c>
      <c r="D36" s="245"/>
      <c r="E36" s="243">
        <v>66700</v>
      </c>
      <c r="F36" s="243">
        <v>66180</v>
      </c>
      <c r="G36" s="242">
        <f t="shared" si="2"/>
        <v>-520</v>
      </c>
      <c r="H36" s="340">
        <f t="shared" si="0"/>
        <v>-0.77961019490254868</v>
      </c>
      <c r="I36" s="1514"/>
      <c r="J36" s="1515"/>
      <c r="K36" s="1515"/>
      <c r="L36" s="1515"/>
      <c r="M36" s="1515"/>
      <c r="N36" s="1515"/>
      <c r="O36" s="1515"/>
      <c r="P36" s="1515"/>
      <c r="Q36" s="1515"/>
      <c r="R36" s="1516"/>
      <c r="T36" s="11"/>
    </row>
    <row r="37" spans="1:20" s="22" customFormat="1" ht="24" customHeight="1" x14ac:dyDescent="0.15">
      <c r="A37" s="256" t="s">
        <v>307</v>
      </c>
      <c r="B37" s="1584" t="s">
        <v>255</v>
      </c>
      <c r="C37" s="1585"/>
      <c r="D37" s="245"/>
      <c r="E37" s="335">
        <v>6082000</v>
      </c>
      <c r="F37" s="335">
        <f>F38</f>
        <v>3343190</v>
      </c>
      <c r="G37" s="242">
        <f t="shared" si="2"/>
        <v>-2738810</v>
      </c>
      <c r="H37" s="340">
        <f t="shared" si="0"/>
        <v>-45.031404143373891</v>
      </c>
      <c r="I37" s="1514"/>
      <c r="J37" s="1515"/>
      <c r="K37" s="1515"/>
      <c r="L37" s="1515"/>
      <c r="M37" s="1515"/>
      <c r="N37" s="1515"/>
      <c r="O37" s="1515"/>
      <c r="P37" s="1515"/>
      <c r="Q37" s="1515"/>
      <c r="R37" s="1516"/>
      <c r="T37" s="11"/>
    </row>
    <row r="38" spans="1:20" s="22" customFormat="1" ht="24" customHeight="1" x14ac:dyDescent="0.15">
      <c r="A38" s="259"/>
      <c r="B38" s="291" t="s">
        <v>485</v>
      </c>
      <c r="C38" s="245" t="s">
        <v>258</v>
      </c>
      <c r="D38" s="245"/>
      <c r="E38" s="339">
        <v>6082000</v>
      </c>
      <c r="F38" s="339">
        <f>F39</f>
        <v>3343190</v>
      </c>
      <c r="G38" s="242">
        <f t="shared" si="2"/>
        <v>-2738810</v>
      </c>
      <c r="H38" s="340">
        <f t="shared" si="0"/>
        <v>-45.031404143373891</v>
      </c>
      <c r="I38" s="1514"/>
      <c r="J38" s="1515"/>
      <c r="K38" s="1515"/>
      <c r="L38" s="1515"/>
      <c r="M38" s="1515"/>
      <c r="N38" s="1515"/>
      <c r="O38" s="1515"/>
      <c r="P38" s="1515"/>
      <c r="Q38" s="1515"/>
      <c r="R38" s="1516"/>
      <c r="T38" s="11"/>
    </row>
    <row r="39" spans="1:20" s="22" customFormat="1" ht="24" customHeight="1" x14ac:dyDescent="0.15">
      <c r="A39" s="279"/>
      <c r="B39" s="280"/>
      <c r="C39" s="281" t="s">
        <v>485</v>
      </c>
      <c r="D39" s="281"/>
      <c r="E39" s="359">
        <v>6082000</v>
      </c>
      <c r="F39" s="359">
        <f>'[1]다-1.도시(군)세입'!F25</f>
        <v>3343190</v>
      </c>
      <c r="G39" s="360">
        <f>F39-E39</f>
        <v>-2738810</v>
      </c>
      <c r="H39" s="367">
        <f t="shared" si="0"/>
        <v>-45.031404143373891</v>
      </c>
      <c r="I39" s="1517" t="s">
        <v>511</v>
      </c>
      <c r="J39" s="1518"/>
      <c r="K39" s="1518"/>
      <c r="L39" s="1518"/>
      <c r="M39" s="1518"/>
      <c r="N39" s="1518"/>
      <c r="O39" s="1518"/>
      <c r="P39" s="1518"/>
      <c r="Q39" s="1518"/>
      <c r="R39" s="1519"/>
      <c r="T39" s="11"/>
    </row>
    <row r="40" spans="1:20" s="22" customFormat="1" ht="16.5" customHeight="1" x14ac:dyDescent="0.15">
      <c r="A40" s="368"/>
      <c r="B40" s="368"/>
      <c r="C40" s="369"/>
      <c r="D40" s="369"/>
      <c r="E40" s="370"/>
      <c r="F40" s="370"/>
      <c r="G40" s="371"/>
      <c r="H40" s="372"/>
      <c r="I40" s="373"/>
      <c r="J40" s="374"/>
      <c r="K40" s="374"/>
      <c r="L40" s="374"/>
      <c r="M40" s="374"/>
      <c r="N40" s="374"/>
      <c r="O40" s="374"/>
      <c r="P40" s="374"/>
      <c r="Q40" s="374"/>
      <c r="R40" s="374"/>
      <c r="T40" s="11"/>
    </row>
    <row r="41" spans="1:20" s="22" customFormat="1" ht="12" customHeight="1" x14ac:dyDescent="0.15">
      <c r="E41" s="171"/>
      <c r="G41" s="375"/>
      <c r="J41" s="376"/>
      <c r="K41" s="376"/>
      <c r="L41" s="376"/>
      <c r="M41" s="376"/>
      <c r="N41" s="376"/>
      <c r="O41" s="376"/>
      <c r="P41" s="376"/>
      <c r="R41" s="376"/>
      <c r="T41" s="11"/>
    </row>
    <row r="42" spans="1:20" s="22" customFormat="1" ht="12" customHeight="1" x14ac:dyDescent="0.15">
      <c r="E42" s="171"/>
      <c r="G42" s="375"/>
      <c r="J42" s="376"/>
      <c r="K42" s="376"/>
      <c r="L42" s="376"/>
      <c r="M42" s="376"/>
      <c r="N42" s="376"/>
      <c r="O42" s="376"/>
      <c r="P42" s="376"/>
      <c r="R42" s="376"/>
      <c r="T42" s="11"/>
    </row>
    <row r="43" spans="1:20" s="22" customFormat="1" ht="12" customHeight="1" x14ac:dyDescent="0.15">
      <c r="E43" s="171"/>
      <c r="G43" s="375"/>
      <c r="J43" s="376"/>
      <c r="K43" s="376"/>
      <c r="L43" s="376"/>
      <c r="M43" s="376"/>
      <c r="N43" s="376"/>
      <c r="O43" s="376"/>
      <c r="P43" s="376"/>
      <c r="R43" s="376"/>
      <c r="T43" s="11"/>
    </row>
    <row r="44" spans="1:20" s="22" customFormat="1" ht="12" customHeight="1" x14ac:dyDescent="0.15">
      <c r="E44" s="171"/>
      <c r="G44" s="375"/>
      <c r="J44" s="376"/>
      <c r="K44" s="376"/>
      <c r="L44" s="376"/>
      <c r="M44" s="376"/>
      <c r="N44" s="376"/>
      <c r="O44" s="376"/>
      <c r="P44" s="376"/>
      <c r="R44" s="376"/>
      <c r="T44" s="11"/>
    </row>
    <row r="45" spans="1:20" s="22" customFormat="1" ht="12" customHeight="1" x14ac:dyDescent="0.15">
      <c r="E45" s="171"/>
      <c r="G45" s="375"/>
      <c r="J45" s="376"/>
      <c r="K45" s="376"/>
      <c r="L45" s="376"/>
      <c r="M45" s="376"/>
      <c r="N45" s="376"/>
      <c r="O45" s="376"/>
      <c r="P45" s="376"/>
      <c r="R45" s="376"/>
      <c r="T45" s="11"/>
    </row>
    <row r="46" spans="1:20" s="22" customFormat="1" ht="12" customHeight="1" x14ac:dyDescent="0.15">
      <c r="E46" s="171"/>
      <c r="G46" s="375"/>
      <c r="J46" s="376"/>
      <c r="K46" s="376"/>
      <c r="L46" s="376"/>
      <c r="M46" s="376"/>
      <c r="N46" s="376"/>
      <c r="O46" s="376"/>
      <c r="P46" s="376"/>
      <c r="R46" s="376"/>
      <c r="T46" s="11"/>
    </row>
    <row r="47" spans="1:20" s="22" customFormat="1" ht="12" customHeight="1" x14ac:dyDescent="0.15">
      <c r="E47" s="171"/>
      <c r="G47" s="375"/>
      <c r="J47" s="376"/>
      <c r="K47" s="376"/>
      <c r="L47" s="376"/>
      <c r="M47" s="376"/>
      <c r="N47" s="376"/>
      <c r="O47" s="376"/>
      <c r="P47" s="376"/>
      <c r="R47" s="376"/>
      <c r="T47" s="11"/>
    </row>
    <row r="48" spans="1:20" s="22" customFormat="1" ht="12" customHeight="1" x14ac:dyDescent="0.15">
      <c r="E48" s="171"/>
      <c r="G48" s="377"/>
      <c r="J48" s="376"/>
      <c r="K48" s="376"/>
      <c r="L48" s="376"/>
      <c r="M48" s="376"/>
      <c r="N48" s="376"/>
      <c r="O48" s="376"/>
      <c r="P48" s="376"/>
      <c r="R48" s="376"/>
      <c r="T48" s="11"/>
    </row>
    <row r="49" spans="5:20" s="22" customFormat="1" ht="12" customHeight="1" x14ac:dyDescent="0.15">
      <c r="E49" s="171"/>
      <c r="G49" s="377"/>
      <c r="J49" s="376"/>
      <c r="K49" s="376"/>
      <c r="L49" s="376"/>
      <c r="M49" s="376"/>
      <c r="N49" s="376"/>
      <c r="O49" s="376"/>
      <c r="P49" s="376"/>
      <c r="R49" s="376"/>
      <c r="T49" s="11"/>
    </row>
    <row r="50" spans="5:20" s="22" customFormat="1" ht="12" customHeight="1" x14ac:dyDescent="0.15">
      <c r="E50" s="171"/>
      <c r="G50" s="377"/>
      <c r="J50" s="376"/>
      <c r="K50" s="376"/>
      <c r="L50" s="376"/>
      <c r="M50" s="376"/>
      <c r="N50" s="376"/>
      <c r="O50" s="376"/>
      <c r="P50" s="376"/>
      <c r="R50" s="376"/>
      <c r="T50" s="11"/>
    </row>
    <row r="51" spans="5:20" s="22" customFormat="1" ht="12" customHeight="1" x14ac:dyDescent="0.15">
      <c r="E51" s="171"/>
      <c r="G51" s="377"/>
      <c r="J51" s="376"/>
      <c r="K51" s="376"/>
      <c r="L51" s="376"/>
      <c r="M51" s="376"/>
      <c r="N51" s="376"/>
      <c r="O51" s="376"/>
      <c r="P51" s="376"/>
      <c r="R51" s="376"/>
      <c r="T51" s="11"/>
    </row>
    <row r="52" spans="5:20" s="22" customFormat="1" ht="12" customHeight="1" x14ac:dyDescent="0.15">
      <c r="E52" s="171"/>
      <c r="G52" s="377"/>
      <c r="J52" s="376"/>
      <c r="K52" s="376"/>
      <c r="L52" s="376"/>
      <c r="M52" s="376"/>
      <c r="N52" s="376"/>
      <c r="O52" s="376"/>
      <c r="P52" s="376"/>
      <c r="R52" s="376"/>
      <c r="T52" s="11"/>
    </row>
    <row r="53" spans="5:20" s="22" customFormat="1" ht="12" customHeight="1" x14ac:dyDescent="0.15">
      <c r="E53" s="171"/>
      <c r="G53" s="377"/>
      <c r="J53" s="376"/>
      <c r="K53" s="376"/>
      <c r="L53" s="376"/>
      <c r="M53" s="376"/>
      <c r="N53" s="376"/>
      <c r="O53" s="376"/>
      <c r="P53" s="376"/>
      <c r="R53" s="376"/>
      <c r="T53" s="11"/>
    </row>
    <row r="54" spans="5:20" s="22" customFormat="1" ht="12" customHeight="1" x14ac:dyDescent="0.15">
      <c r="E54" s="171"/>
      <c r="G54" s="377"/>
      <c r="J54" s="376"/>
      <c r="K54" s="376"/>
      <c r="L54" s="376"/>
      <c r="M54" s="376"/>
      <c r="N54" s="376"/>
      <c r="O54" s="376"/>
      <c r="P54" s="376"/>
      <c r="R54" s="376"/>
      <c r="T54" s="11"/>
    </row>
    <row r="55" spans="5:20" s="22" customFormat="1" ht="12" customHeight="1" x14ac:dyDescent="0.15">
      <c r="E55" s="171"/>
      <c r="G55" s="377"/>
      <c r="J55" s="376"/>
      <c r="K55" s="376"/>
      <c r="L55" s="376"/>
      <c r="M55" s="376"/>
      <c r="N55" s="376"/>
      <c r="O55" s="376"/>
      <c r="P55" s="376"/>
      <c r="R55" s="376"/>
      <c r="T55" s="11"/>
    </row>
    <row r="56" spans="5:20" s="22" customFormat="1" ht="12" customHeight="1" x14ac:dyDescent="0.15">
      <c r="E56" s="171"/>
      <c r="G56" s="377"/>
      <c r="J56" s="376"/>
      <c r="K56" s="376"/>
      <c r="L56" s="376"/>
      <c r="M56" s="376"/>
      <c r="N56" s="376"/>
      <c r="O56" s="376"/>
      <c r="P56" s="376"/>
      <c r="R56" s="376"/>
      <c r="T56" s="11"/>
    </row>
    <row r="57" spans="5:20" s="22" customFormat="1" ht="12" customHeight="1" x14ac:dyDescent="0.15">
      <c r="E57" s="171"/>
      <c r="G57" s="377"/>
      <c r="J57" s="376"/>
      <c r="K57" s="376"/>
      <c r="L57" s="376"/>
      <c r="M57" s="376"/>
      <c r="N57" s="376"/>
      <c r="O57" s="376"/>
      <c r="P57" s="376"/>
      <c r="R57" s="376"/>
      <c r="T57" s="11"/>
    </row>
    <row r="58" spans="5:20" s="22" customFormat="1" ht="12" customHeight="1" x14ac:dyDescent="0.15">
      <c r="E58" s="171"/>
      <c r="G58" s="377"/>
      <c r="J58" s="376"/>
      <c r="K58" s="376"/>
      <c r="L58" s="376"/>
      <c r="M58" s="376"/>
      <c r="N58" s="376"/>
      <c r="O58" s="376"/>
      <c r="P58" s="376"/>
      <c r="R58" s="376"/>
      <c r="T58" s="11"/>
    </row>
    <row r="59" spans="5:20" s="22" customFormat="1" ht="12" customHeight="1" x14ac:dyDescent="0.15">
      <c r="E59" s="171"/>
      <c r="G59" s="377"/>
      <c r="J59" s="376"/>
      <c r="K59" s="376"/>
      <c r="L59" s="376"/>
      <c r="M59" s="376"/>
      <c r="N59" s="376"/>
      <c r="O59" s="376"/>
      <c r="P59" s="376"/>
      <c r="R59" s="376"/>
      <c r="T59" s="11"/>
    </row>
    <row r="60" spans="5:20" s="22" customFormat="1" ht="12" customHeight="1" x14ac:dyDescent="0.15">
      <c r="E60" s="171"/>
      <c r="G60" s="377"/>
      <c r="J60" s="376"/>
      <c r="K60" s="376"/>
      <c r="L60" s="376"/>
      <c r="M60" s="376"/>
      <c r="N60" s="376"/>
      <c r="O60" s="376"/>
      <c r="P60" s="376"/>
      <c r="R60" s="376"/>
      <c r="T60" s="11"/>
    </row>
    <row r="61" spans="5:20" s="22" customFormat="1" ht="12" customHeight="1" x14ac:dyDescent="0.15">
      <c r="E61" s="171"/>
      <c r="G61" s="377"/>
      <c r="J61" s="376"/>
      <c r="K61" s="376"/>
      <c r="L61" s="376"/>
      <c r="M61" s="376"/>
      <c r="N61" s="376"/>
      <c r="O61" s="376"/>
      <c r="P61" s="376"/>
      <c r="R61" s="376"/>
      <c r="T61" s="11"/>
    </row>
    <row r="62" spans="5:20" s="22" customFormat="1" ht="12" customHeight="1" x14ac:dyDescent="0.15">
      <c r="E62" s="171"/>
      <c r="G62" s="377"/>
      <c r="J62" s="376"/>
      <c r="K62" s="376"/>
      <c r="L62" s="376"/>
      <c r="M62" s="376"/>
      <c r="N62" s="376"/>
      <c r="O62" s="376"/>
      <c r="P62" s="376"/>
      <c r="R62" s="376"/>
      <c r="T62" s="11"/>
    </row>
    <row r="63" spans="5:20" s="22" customFormat="1" ht="12" customHeight="1" x14ac:dyDescent="0.15">
      <c r="E63" s="171"/>
      <c r="G63" s="377"/>
      <c r="I63" s="22" t="s">
        <v>459</v>
      </c>
      <c r="J63" s="376"/>
      <c r="K63" s="376"/>
      <c r="L63" s="376"/>
      <c r="M63" s="376"/>
      <c r="N63" s="376"/>
      <c r="O63" s="376"/>
      <c r="P63" s="376"/>
      <c r="R63" s="376"/>
      <c r="T63" s="11"/>
    </row>
    <row r="64" spans="5:20" s="22" customFormat="1" ht="12" customHeight="1" x14ac:dyDescent="0.15">
      <c r="E64" s="171"/>
      <c r="G64" s="377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7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7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7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7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7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0.5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0.5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0.5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0.5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0.5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0.5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0.5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0.5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0.5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0.5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0.5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0.5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0.5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0.5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0.5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0.5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0.5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0.5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0.5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0.5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0.5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0.5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</sheetData>
  <mergeCells count="43">
    <mergeCell ref="A6:C6"/>
    <mergeCell ref="I6:R6"/>
    <mergeCell ref="I7:R7"/>
    <mergeCell ref="I8:R8"/>
    <mergeCell ref="I9:R9"/>
    <mergeCell ref="A2:D2"/>
    <mergeCell ref="Q3:R3"/>
    <mergeCell ref="A4:D4"/>
    <mergeCell ref="E4:E5"/>
    <mergeCell ref="F4:F5"/>
    <mergeCell ref="G4:H4"/>
    <mergeCell ref="I4:R5"/>
    <mergeCell ref="I16:R16"/>
    <mergeCell ref="I17:R17"/>
    <mergeCell ref="I18:R18"/>
    <mergeCell ref="I19:R19"/>
    <mergeCell ref="I10:R10"/>
    <mergeCell ref="I11:R11"/>
    <mergeCell ref="I12:R12"/>
    <mergeCell ref="I13:R13"/>
    <mergeCell ref="I14:R14"/>
    <mergeCell ref="I15:R15"/>
    <mergeCell ref="B20:C20"/>
    <mergeCell ref="I21:R21"/>
    <mergeCell ref="B34:C34"/>
    <mergeCell ref="I34:R34"/>
    <mergeCell ref="I23:R23"/>
    <mergeCell ref="I24:R24"/>
    <mergeCell ref="I25:R25"/>
    <mergeCell ref="I26:R26"/>
    <mergeCell ref="I27:R27"/>
    <mergeCell ref="I28:R28"/>
    <mergeCell ref="I22:R22"/>
    <mergeCell ref="B37:C37"/>
    <mergeCell ref="I37:R37"/>
    <mergeCell ref="I38:R38"/>
    <mergeCell ref="I39:R39"/>
    <mergeCell ref="I29:R29"/>
    <mergeCell ref="I30:R30"/>
    <mergeCell ref="I32:R32"/>
    <mergeCell ref="I33:R33"/>
    <mergeCell ref="I35:R35"/>
    <mergeCell ref="I36:R36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topLeftCell="A7" workbookViewId="0">
      <selection activeCell="G41" sqref="G41"/>
    </sheetView>
  </sheetViews>
  <sheetFormatPr defaultRowHeight="13.5" x14ac:dyDescent="0.15"/>
  <cols>
    <col min="1" max="1" width="7.5" style="22" customWidth="1"/>
    <col min="2" max="2" width="8" style="22" customWidth="1"/>
    <col min="3" max="3" width="10.25" style="22" customWidth="1"/>
    <col min="4" max="4" width="10.375" style="22" customWidth="1"/>
    <col min="5" max="5" width="11.25" style="22" customWidth="1"/>
    <col min="6" max="6" width="11.25" style="94" customWidth="1"/>
    <col min="7" max="7" width="11.625" style="377" customWidth="1"/>
    <col min="8" max="8" width="7.375" style="377" customWidth="1"/>
    <col min="9" max="12" width="4.125" style="22" customWidth="1"/>
    <col min="13" max="13" width="2" style="22" customWidth="1"/>
    <col min="14" max="14" width="6.25" style="22" bestFit="1" customWidth="1"/>
    <col min="15" max="15" width="2.125" style="22" customWidth="1"/>
    <col min="16" max="16" width="1.75" style="22" customWidth="1"/>
    <col min="17" max="17" width="5.25" style="22" customWidth="1"/>
    <col min="18" max="18" width="1.5" style="22" customWidth="1"/>
    <col min="19" max="19" width="11.5" style="492" customWidth="1"/>
    <col min="20" max="20" width="11" style="431" customWidth="1"/>
    <col min="21" max="22" width="10.25" style="431" customWidth="1"/>
    <col min="23" max="23" width="16.125" style="467" customWidth="1"/>
    <col min="24" max="24" width="14.875" style="93" customWidth="1"/>
    <col min="25" max="25" width="10" style="93" customWidth="1"/>
    <col min="26" max="26" width="16.875" style="93" customWidth="1"/>
    <col min="27" max="27" width="10" style="93" customWidth="1"/>
    <col min="28" max="28" width="13.125" style="93" customWidth="1"/>
    <col min="29" max="29" width="10" style="93" customWidth="1"/>
    <col min="30" max="30" width="17.25" style="93" customWidth="1"/>
    <col min="31" max="34" width="10" style="93" customWidth="1"/>
    <col min="35" max="16384" width="9" style="93"/>
  </cols>
  <sheetData>
    <row r="1" spans="1:30" s="25" customFormat="1" ht="23.25" customHeight="1" x14ac:dyDescent="0.15">
      <c r="A1" s="288" t="s">
        <v>433</v>
      </c>
      <c r="B1" s="288"/>
      <c r="C1" s="288"/>
      <c r="D1" s="23"/>
      <c r="E1" s="23"/>
      <c r="F1" s="21"/>
      <c r="G1" s="392"/>
      <c r="H1" s="392"/>
      <c r="I1" s="1647">
        <f>F6-W1</f>
        <v>24338840</v>
      </c>
      <c r="J1" s="1648"/>
      <c r="K1" s="1648"/>
      <c r="L1" s="1648"/>
      <c r="M1" s="1648"/>
      <c r="N1" s="1648"/>
      <c r="O1" s="1648"/>
      <c r="P1" s="1648"/>
      <c r="Q1" s="1648"/>
      <c r="R1" s="1648"/>
      <c r="S1" s="393"/>
      <c r="T1" s="394" t="s">
        <v>512</v>
      </c>
      <c r="U1" s="394">
        <f>SUM(U2:U6)</f>
        <v>177310000</v>
      </c>
      <c r="V1" s="394">
        <f>SUM(V2:V6)</f>
        <v>24200000</v>
      </c>
      <c r="W1" s="394">
        <f t="shared" ref="W1:W6" si="0">SUM(U1:V1)</f>
        <v>201510000</v>
      </c>
      <c r="X1" s="395"/>
    </row>
    <row r="2" spans="1:30" s="25" customFormat="1" ht="22.5" customHeight="1" x14ac:dyDescent="0.15">
      <c r="A2" s="1649" t="s">
        <v>513</v>
      </c>
      <c r="B2" s="1649"/>
      <c r="C2" s="1650"/>
      <c r="D2" s="93"/>
      <c r="E2" s="23"/>
      <c r="F2" s="21"/>
      <c r="G2" s="392"/>
      <c r="H2" s="392"/>
      <c r="I2" s="1648"/>
      <c r="J2" s="1648"/>
      <c r="K2" s="1648"/>
      <c r="L2" s="1648"/>
      <c r="M2" s="1648"/>
      <c r="N2" s="1648"/>
      <c r="O2" s="1648"/>
      <c r="P2" s="1648"/>
      <c r="Q2" s="1648"/>
      <c r="R2" s="1648"/>
      <c r="S2" s="393"/>
      <c r="T2" s="396" t="s">
        <v>514</v>
      </c>
      <c r="U2" s="396">
        <f>'다. 세입내역서'!E9</f>
        <v>84000000</v>
      </c>
      <c r="V2" s="396">
        <v>9000000</v>
      </c>
      <c r="W2" s="396">
        <f t="shared" si="0"/>
        <v>93000000</v>
      </c>
      <c r="X2" s="397">
        <f>W2-S8</f>
        <v>-41200000</v>
      </c>
    </row>
    <row r="3" spans="1:30" s="276" customFormat="1" ht="18" customHeight="1" x14ac:dyDescent="0.15">
      <c r="A3" s="23"/>
      <c r="B3" s="23"/>
      <c r="C3" s="23"/>
      <c r="D3" s="23"/>
      <c r="E3" s="23"/>
      <c r="F3" s="21"/>
      <c r="G3" s="392"/>
      <c r="H3" s="392"/>
      <c r="I3" s="1651" t="s">
        <v>244</v>
      </c>
      <c r="J3" s="1651"/>
      <c r="K3" s="1651"/>
      <c r="L3" s="1651"/>
      <c r="M3" s="1651"/>
      <c r="N3" s="1651"/>
      <c r="O3" s="1651"/>
      <c r="P3" s="1651"/>
      <c r="Q3" s="1651"/>
      <c r="R3" s="1651"/>
      <c r="S3" s="393"/>
      <c r="T3" s="398" t="s">
        <v>515</v>
      </c>
      <c r="U3" s="398">
        <f>'[1]다-2.자부담세입'!E25</f>
        <v>40000000</v>
      </c>
      <c r="V3" s="398">
        <v>5000000</v>
      </c>
      <c r="W3" s="398">
        <f t="shared" si="0"/>
        <v>45000000</v>
      </c>
      <c r="X3" s="399">
        <f>W3-T8</f>
        <v>19566600</v>
      </c>
    </row>
    <row r="4" spans="1:30" s="248" customFormat="1" ht="22.5" customHeight="1" x14ac:dyDescent="0.15">
      <c r="A4" s="1562" t="s">
        <v>247</v>
      </c>
      <c r="B4" s="1563"/>
      <c r="C4" s="1563"/>
      <c r="D4" s="1564"/>
      <c r="E4" s="1565" t="str">
        <f>[1]라.국도비세출!E4:E5</f>
        <v>당초예산
( A )</v>
      </c>
      <c r="F4" s="1567" t="str">
        <f>[1]라.국도비세출!F4:F5</f>
        <v>1차추경
( B )</v>
      </c>
      <c r="G4" s="1652" t="s">
        <v>406</v>
      </c>
      <c r="H4" s="1652"/>
      <c r="I4" s="1653" t="s">
        <v>435</v>
      </c>
      <c r="J4" s="1653"/>
      <c r="K4" s="1653"/>
      <c r="L4" s="1653"/>
      <c r="M4" s="1653"/>
      <c r="N4" s="1653"/>
      <c r="O4" s="1653"/>
      <c r="P4" s="1653"/>
      <c r="Q4" s="1653"/>
      <c r="R4" s="1654"/>
      <c r="S4" s="393"/>
      <c r="T4" s="400" t="s">
        <v>516</v>
      </c>
      <c r="U4" s="400">
        <f>6050000+9000000+500000</f>
        <v>15550000</v>
      </c>
      <c r="V4" s="400">
        <v>7000000</v>
      </c>
      <c r="W4" s="400">
        <f t="shared" si="0"/>
        <v>22550000</v>
      </c>
      <c r="X4" s="401">
        <f>W4-U8</f>
        <v>1794560</v>
      </c>
    </row>
    <row r="5" spans="1:30" s="248" customFormat="1" ht="22.5" customHeight="1" thickBot="1" x14ac:dyDescent="0.2">
      <c r="A5" s="249" t="s">
        <v>1</v>
      </c>
      <c r="B5" s="34" t="s">
        <v>2</v>
      </c>
      <c r="C5" s="34" t="s">
        <v>3</v>
      </c>
      <c r="D5" s="34" t="s">
        <v>428</v>
      </c>
      <c r="E5" s="1566"/>
      <c r="F5" s="1568"/>
      <c r="G5" s="402" t="s">
        <v>251</v>
      </c>
      <c r="H5" s="403" t="s">
        <v>252</v>
      </c>
      <c r="I5" s="1655"/>
      <c r="J5" s="1655"/>
      <c r="K5" s="1655"/>
      <c r="L5" s="1655"/>
      <c r="M5" s="1655"/>
      <c r="N5" s="1655"/>
      <c r="O5" s="1655"/>
      <c r="P5" s="1655"/>
      <c r="Q5" s="1655"/>
      <c r="R5" s="1656"/>
      <c r="S5" s="393">
        <f>'[1]다-2.자부담세입'!E6-'[1]라-2.자부담세출'!W1</f>
        <v>0</v>
      </c>
      <c r="T5" s="404" t="s">
        <v>517</v>
      </c>
      <c r="U5" s="404">
        <v>37200000</v>
      </c>
      <c r="V5" s="404">
        <v>3000000</v>
      </c>
      <c r="W5" s="404">
        <f t="shared" si="0"/>
        <v>40200000</v>
      </c>
      <c r="X5" s="405">
        <f>W5-V8</f>
        <v>0</v>
      </c>
    </row>
    <row r="6" spans="1:30" s="248" customFormat="1" ht="20.25" customHeight="1" thickTop="1" x14ac:dyDescent="0.15">
      <c r="A6" s="1657" t="s">
        <v>438</v>
      </c>
      <c r="B6" s="1658"/>
      <c r="C6" s="1658"/>
      <c r="D6" s="406"/>
      <c r="E6" s="329">
        <v>226800000</v>
      </c>
      <c r="F6" s="329">
        <f>F7+F45+F50+F90+F87+F84</f>
        <v>225848840</v>
      </c>
      <c r="G6" s="41">
        <f>G7+G45+G50+G90+G87+G84</f>
        <v>-951160</v>
      </c>
      <c r="H6" s="407">
        <f>G6/E6*100</f>
        <v>-0.41938271604938271</v>
      </c>
      <c r="I6" s="1627"/>
      <c r="J6" s="1627"/>
      <c r="K6" s="1627"/>
      <c r="L6" s="1627"/>
      <c r="M6" s="1627"/>
      <c r="N6" s="1627"/>
      <c r="O6" s="1627"/>
      <c r="P6" s="1627"/>
      <c r="Q6" s="1627"/>
      <c r="R6" s="1628"/>
      <c r="S6" s="393">
        <f>'[1]다-2.자부담세입'!E6-'[1]라-2.자부담세출'!F6</f>
        <v>0</v>
      </c>
      <c r="T6" s="408" t="s">
        <v>518</v>
      </c>
      <c r="U6" s="408">
        <v>560000</v>
      </c>
      <c r="V6" s="408">
        <v>200000</v>
      </c>
      <c r="W6" s="408">
        <f t="shared" si="0"/>
        <v>760000</v>
      </c>
      <c r="X6" s="409">
        <f>W6-W8</f>
        <v>0</v>
      </c>
      <c r="Z6" s="13"/>
      <c r="AB6" s="410"/>
      <c r="AD6" s="410"/>
    </row>
    <row r="7" spans="1:30" ht="20.25" customHeight="1" x14ac:dyDescent="0.15">
      <c r="A7" s="411" t="s">
        <v>256</v>
      </c>
      <c r="B7" s="412" t="s">
        <v>255</v>
      </c>
      <c r="C7" s="201"/>
      <c r="D7" s="196"/>
      <c r="E7" s="335">
        <v>88800000</v>
      </c>
      <c r="F7" s="335">
        <f>F8+F33+F38</f>
        <v>69848840</v>
      </c>
      <c r="G7" s="243">
        <f t="shared" ref="G7:G70" si="1">F7-E7</f>
        <v>-18951160</v>
      </c>
      <c r="H7" s="413">
        <f>G7/E7*100</f>
        <v>-21.341396396396398</v>
      </c>
      <c r="I7" s="1599"/>
      <c r="J7" s="1599"/>
      <c r="K7" s="1599"/>
      <c r="L7" s="1599"/>
      <c r="M7" s="1599"/>
      <c r="N7" s="1599"/>
      <c r="O7" s="1599"/>
      <c r="P7" s="1599"/>
      <c r="Q7" s="1599"/>
      <c r="R7" s="1600"/>
      <c r="S7" s="414" t="s">
        <v>514</v>
      </c>
      <c r="T7" s="415" t="s">
        <v>515</v>
      </c>
      <c r="U7" s="416" t="s">
        <v>519</v>
      </c>
      <c r="V7" s="417" t="s">
        <v>520</v>
      </c>
      <c r="W7" s="418" t="s">
        <v>518</v>
      </c>
    </row>
    <row r="8" spans="1:30" ht="23.25" customHeight="1" x14ac:dyDescent="0.15">
      <c r="A8" s="419"/>
      <c r="B8" s="196" t="s">
        <v>259</v>
      </c>
      <c r="C8" s="196" t="s">
        <v>258</v>
      </c>
      <c r="D8" s="196"/>
      <c r="E8" s="339">
        <v>33511060</v>
      </c>
      <c r="F8" s="339">
        <f>F9+F10+F11+F12+F26+F27+F32</f>
        <v>11933400</v>
      </c>
      <c r="G8" s="243">
        <f t="shared" si="1"/>
        <v>-21577660</v>
      </c>
      <c r="H8" s="413">
        <f t="shared" ref="H8:H71" si="2">G8/E8*100</f>
        <v>-64.389667172569304</v>
      </c>
      <c r="I8" s="1599"/>
      <c r="J8" s="1599"/>
      <c r="K8" s="1599"/>
      <c r="L8" s="1599"/>
      <c r="M8" s="1599"/>
      <c r="N8" s="1599"/>
      <c r="O8" s="1599"/>
      <c r="P8" s="1599"/>
      <c r="Q8" s="1599"/>
      <c r="R8" s="1600"/>
      <c r="S8" s="420">
        <f>SUM(S9:S92)</f>
        <v>134200000</v>
      </c>
      <c r="T8" s="421">
        <f>SUM(T9:T92)</f>
        <v>25433400</v>
      </c>
      <c r="U8" s="422">
        <f>SUM(U9:U92)</f>
        <v>20755440</v>
      </c>
      <c r="V8" s="423">
        <f>SUM(V9:V92)</f>
        <v>40200000</v>
      </c>
      <c r="W8" s="424">
        <f>SUM(W9:W92)</f>
        <v>760000</v>
      </c>
      <c r="X8" s="425">
        <f>SUM(S8:W8)-W1</f>
        <v>19838840</v>
      </c>
      <c r="Z8" s="138"/>
    </row>
    <row r="9" spans="1:30" ht="16.5" hidden="1" customHeight="1" x14ac:dyDescent="0.15">
      <c r="A9" s="426"/>
      <c r="B9" s="210"/>
      <c r="C9" s="196" t="s">
        <v>74</v>
      </c>
      <c r="D9" s="196"/>
      <c r="E9" s="339">
        <v>0</v>
      </c>
      <c r="F9" s="339">
        <v>0</v>
      </c>
      <c r="G9" s="243">
        <f t="shared" si="1"/>
        <v>0</v>
      </c>
      <c r="H9" s="413" t="e">
        <f t="shared" si="2"/>
        <v>#DIV/0!</v>
      </c>
      <c r="I9" s="1599"/>
      <c r="J9" s="1599"/>
      <c r="K9" s="1599"/>
      <c r="L9" s="1599"/>
      <c r="M9" s="1599"/>
      <c r="N9" s="1599"/>
      <c r="O9" s="1599"/>
      <c r="P9" s="1599"/>
      <c r="Q9" s="1599"/>
      <c r="R9" s="1600"/>
      <c r="S9" s="427"/>
      <c r="T9" s="428"/>
      <c r="U9" s="428"/>
      <c r="V9" s="427"/>
      <c r="W9" s="429"/>
      <c r="X9" s="430"/>
    </row>
    <row r="10" spans="1:30" ht="16.5" hidden="1" customHeight="1" x14ac:dyDescent="0.15">
      <c r="A10" s="426"/>
      <c r="B10" s="212"/>
      <c r="C10" s="196" t="s">
        <v>521</v>
      </c>
      <c r="D10" s="196"/>
      <c r="E10" s="339">
        <v>0</v>
      </c>
      <c r="F10" s="339">
        <v>0</v>
      </c>
      <c r="G10" s="243">
        <f t="shared" si="1"/>
        <v>0</v>
      </c>
      <c r="H10" s="413" t="e">
        <f t="shared" si="2"/>
        <v>#DIV/0!</v>
      </c>
      <c r="I10" s="1599"/>
      <c r="J10" s="1599"/>
      <c r="K10" s="1599"/>
      <c r="L10" s="1599"/>
      <c r="M10" s="1599"/>
      <c r="N10" s="1599"/>
      <c r="O10" s="1599"/>
      <c r="P10" s="1599"/>
      <c r="Q10" s="1599"/>
      <c r="R10" s="1600"/>
      <c r="S10" s="427"/>
      <c r="T10" s="428"/>
      <c r="U10" s="428"/>
      <c r="V10" s="427"/>
      <c r="W10" s="429"/>
      <c r="X10" s="430"/>
    </row>
    <row r="11" spans="1:30" ht="16.5" hidden="1" customHeight="1" x14ac:dyDescent="0.15">
      <c r="A11" s="426"/>
      <c r="B11" s="212"/>
      <c r="C11" s="196" t="s">
        <v>522</v>
      </c>
      <c r="D11" s="196"/>
      <c r="E11" s="339">
        <v>0</v>
      </c>
      <c r="F11" s="339">
        <v>0</v>
      </c>
      <c r="G11" s="243">
        <f t="shared" si="1"/>
        <v>0</v>
      </c>
      <c r="H11" s="413" t="e">
        <f t="shared" si="2"/>
        <v>#DIV/0!</v>
      </c>
      <c r="I11" s="1599"/>
      <c r="J11" s="1599"/>
      <c r="K11" s="1599"/>
      <c r="L11" s="1599"/>
      <c r="M11" s="1599"/>
      <c r="N11" s="1599"/>
      <c r="O11" s="1599"/>
      <c r="P11" s="1599"/>
      <c r="Q11" s="1599"/>
      <c r="R11" s="1600"/>
      <c r="S11" s="427"/>
      <c r="V11" s="427"/>
      <c r="W11" s="432"/>
      <c r="X11" s="433"/>
    </row>
    <row r="12" spans="1:30" ht="16.5" customHeight="1" x14ac:dyDescent="0.15">
      <c r="A12" s="426"/>
      <c r="B12" s="212"/>
      <c r="C12" s="196" t="s">
        <v>62</v>
      </c>
      <c r="D12" s="196" t="s">
        <v>258</v>
      </c>
      <c r="E12" s="339">
        <v>19000000</v>
      </c>
      <c r="F12" s="339">
        <f>SUM(F13:F25)</f>
        <v>0</v>
      </c>
      <c r="G12" s="243">
        <f t="shared" si="1"/>
        <v>-19000000</v>
      </c>
      <c r="H12" s="413">
        <f t="shared" si="2"/>
        <v>-100</v>
      </c>
      <c r="I12" s="1599"/>
      <c r="J12" s="1599"/>
      <c r="K12" s="1599"/>
      <c r="L12" s="1599"/>
      <c r="M12" s="1599"/>
      <c r="N12" s="1599"/>
      <c r="O12" s="1599"/>
      <c r="P12" s="1599"/>
      <c r="Q12" s="1599"/>
      <c r="R12" s="1600"/>
      <c r="S12" s="427"/>
      <c r="T12" s="398">
        <f>F12</f>
        <v>0</v>
      </c>
      <c r="V12" s="427"/>
      <c r="W12" s="429"/>
      <c r="X12" s="434">
        <f>F12-S12-T12-U12-V12-W12</f>
        <v>0</v>
      </c>
    </row>
    <row r="13" spans="1:30" ht="16.5" hidden="1" customHeight="1" x14ac:dyDescent="0.15">
      <c r="A13" s="426"/>
      <c r="B13" s="212"/>
      <c r="C13" s="210"/>
      <c r="D13" s="122" t="s">
        <v>523</v>
      </c>
      <c r="E13" s="339">
        <v>0</v>
      </c>
      <c r="F13" s="339">
        <v>0</v>
      </c>
      <c r="G13" s="243">
        <f t="shared" si="1"/>
        <v>0</v>
      </c>
      <c r="H13" s="413" t="e">
        <f t="shared" si="2"/>
        <v>#DIV/0!</v>
      </c>
      <c r="I13" s="1599"/>
      <c r="J13" s="1599"/>
      <c r="K13" s="1599"/>
      <c r="L13" s="1599"/>
      <c r="M13" s="1599"/>
      <c r="N13" s="1599"/>
      <c r="O13" s="1599"/>
      <c r="P13" s="1599"/>
      <c r="Q13" s="1599"/>
      <c r="R13" s="1600"/>
      <c r="S13" s="427"/>
      <c r="V13" s="427"/>
      <c r="W13" s="432"/>
      <c r="X13" s="434"/>
    </row>
    <row r="14" spans="1:30" ht="16.5" hidden="1" customHeight="1" x14ac:dyDescent="0.15">
      <c r="A14" s="426"/>
      <c r="B14" s="212"/>
      <c r="C14" s="212"/>
      <c r="D14" s="196" t="s">
        <v>524</v>
      </c>
      <c r="E14" s="339">
        <v>0</v>
      </c>
      <c r="F14" s="339">
        <v>0</v>
      </c>
      <c r="G14" s="243">
        <f t="shared" si="1"/>
        <v>0</v>
      </c>
      <c r="H14" s="413" t="e">
        <f t="shared" si="2"/>
        <v>#DIV/0!</v>
      </c>
      <c r="I14" s="1599"/>
      <c r="J14" s="1599"/>
      <c r="K14" s="1599"/>
      <c r="L14" s="1599"/>
      <c r="M14" s="1599"/>
      <c r="N14" s="1599"/>
      <c r="O14" s="1599"/>
      <c r="P14" s="1599"/>
      <c r="Q14" s="1599"/>
      <c r="R14" s="1600"/>
      <c r="S14" s="427"/>
      <c r="T14" s="428"/>
      <c r="U14" s="428"/>
      <c r="V14" s="427"/>
      <c r="W14" s="429"/>
      <c r="X14" s="434"/>
    </row>
    <row r="15" spans="1:30" ht="16.5" hidden="1" customHeight="1" x14ac:dyDescent="0.15">
      <c r="A15" s="426"/>
      <c r="B15" s="212"/>
      <c r="C15" s="212"/>
      <c r="D15" s="196" t="s">
        <v>441</v>
      </c>
      <c r="E15" s="339">
        <v>0</v>
      </c>
      <c r="F15" s="339">
        <v>0</v>
      </c>
      <c r="G15" s="243">
        <f t="shared" si="1"/>
        <v>0</v>
      </c>
      <c r="H15" s="413" t="e">
        <f t="shared" si="2"/>
        <v>#DIV/0!</v>
      </c>
      <c r="I15" s="1599"/>
      <c r="J15" s="1599"/>
      <c r="K15" s="1599"/>
      <c r="L15" s="1599"/>
      <c r="M15" s="1599"/>
      <c r="N15" s="1599"/>
      <c r="O15" s="1599"/>
      <c r="P15" s="1599"/>
      <c r="Q15" s="1599"/>
      <c r="R15" s="1600"/>
      <c r="S15" s="427"/>
      <c r="T15" s="428"/>
      <c r="U15" s="428"/>
      <c r="V15" s="427"/>
      <c r="W15" s="429"/>
      <c r="X15" s="434"/>
    </row>
    <row r="16" spans="1:30" ht="16.5" hidden="1" customHeight="1" x14ac:dyDescent="0.15">
      <c r="A16" s="426"/>
      <c r="B16" s="212"/>
      <c r="C16" s="212"/>
      <c r="D16" s="308" t="s">
        <v>525</v>
      </c>
      <c r="E16" s="339">
        <v>0</v>
      </c>
      <c r="F16" s="339">
        <v>0</v>
      </c>
      <c r="G16" s="243">
        <f t="shared" si="1"/>
        <v>0</v>
      </c>
      <c r="H16" s="413" t="e">
        <f t="shared" si="2"/>
        <v>#DIV/0!</v>
      </c>
      <c r="I16" s="1599"/>
      <c r="J16" s="1599"/>
      <c r="K16" s="1599"/>
      <c r="L16" s="1599"/>
      <c r="M16" s="1599"/>
      <c r="N16" s="1599"/>
      <c r="O16" s="1599"/>
      <c r="P16" s="1599"/>
      <c r="Q16" s="1599"/>
      <c r="R16" s="1600"/>
      <c r="S16" s="427"/>
      <c r="T16" s="428"/>
      <c r="U16" s="428"/>
      <c r="V16" s="427"/>
      <c r="W16" s="429"/>
      <c r="X16" s="434"/>
    </row>
    <row r="17" spans="1:30" ht="16.5" hidden="1" customHeight="1" x14ac:dyDescent="0.15">
      <c r="A17" s="426"/>
      <c r="B17" s="212"/>
      <c r="C17" s="212"/>
      <c r="D17" s="308" t="s">
        <v>526</v>
      </c>
      <c r="E17" s="339">
        <v>0</v>
      </c>
      <c r="F17" s="339">
        <v>0</v>
      </c>
      <c r="G17" s="243">
        <f t="shared" si="1"/>
        <v>0</v>
      </c>
      <c r="H17" s="413" t="e">
        <f t="shared" si="2"/>
        <v>#DIV/0!</v>
      </c>
      <c r="I17" s="1599"/>
      <c r="J17" s="1599"/>
      <c r="K17" s="1599"/>
      <c r="L17" s="1599"/>
      <c r="M17" s="1599"/>
      <c r="N17" s="1599"/>
      <c r="O17" s="1599"/>
      <c r="P17" s="1599"/>
      <c r="Q17" s="1599"/>
      <c r="R17" s="1600"/>
      <c r="S17" s="427"/>
      <c r="T17" s="428"/>
      <c r="U17" s="428"/>
      <c r="V17" s="427"/>
      <c r="W17" s="429"/>
      <c r="X17" s="434"/>
    </row>
    <row r="18" spans="1:30" ht="16.5" hidden="1" customHeight="1" x14ac:dyDescent="0.15">
      <c r="A18" s="426"/>
      <c r="B18" s="212"/>
      <c r="C18" s="212"/>
      <c r="D18" s="122" t="s">
        <v>527</v>
      </c>
      <c r="E18" s="339">
        <v>0</v>
      </c>
      <c r="F18" s="339">
        <v>0</v>
      </c>
      <c r="G18" s="243">
        <f t="shared" si="1"/>
        <v>0</v>
      </c>
      <c r="H18" s="413" t="e">
        <f t="shared" si="2"/>
        <v>#DIV/0!</v>
      </c>
      <c r="I18" s="1599"/>
      <c r="J18" s="1599"/>
      <c r="K18" s="1599"/>
      <c r="L18" s="1599"/>
      <c r="M18" s="1599"/>
      <c r="N18" s="1599"/>
      <c r="O18" s="1599"/>
      <c r="P18" s="1599"/>
      <c r="Q18" s="1599"/>
      <c r="R18" s="1600"/>
      <c r="S18" s="427"/>
      <c r="T18" s="428"/>
      <c r="U18" s="428"/>
      <c r="V18" s="427"/>
      <c r="W18" s="429"/>
      <c r="X18" s="434"/>
    </row>
    <row r="19" spans="1:30" ht="16.5" hidden="1" customHeight="1" x14ac:dyDescent="0.15">
      <c r="A19" s="426"/>
      <c r="B19" s="212"/>
      <c r="C19" s="212"/>
      <c r="D19" s="122"/>
      <c r="E19" s="339"/>
      <c r="F19" s="339"/>
      <c r="G19" s="243">
        <f t="shared" si="1"/>
        <v>0</v>
      </c>
      <c r="H19" s="413" t="e">
        <f t="shared" si="2"/>
        <v>#DIV/0!</v>
      </c>
      <c r="I19" s="1599"/>
      <c r="J19" s="1599"/>
      <c r="K19" s="1599"/>
      <c r="L19" s="1599"/>
      <c r="M19" s="1599"/>
      <c r="N19" s="1599"/>
      <c r="O19" s="1599"/>
      <c r="P19" s="1599"/>
      <c r="Q19" s="1599"/>
      <c r="R19" s="1600"/>
      <c r="S19" s="427"/>
      <c r="T19" s="428"/>
      <c r="U19" s="428"/>
      <c r="V19" s="427"/>
      <c r="W19" s="429"/>
      <c r="X19" s="434"/>
    </row>
    <row r="20" spans="1:30" ht="16.5" hidden="1" customHeight="1" x14ac:dyDescent="0.15">
      <c r="A20" s="426"/>
      <c r="B20" s="212"/>
      <c r="C20" s="212"/>
      <c r="D20" s="196" t="s">
        <v>443</v>
      </c>
      <c r="E20" s="339">
        <v>0</v>
      </c>
      <c r="F20" s="339">
        <v>0</v>
      </c>
      <c r="G20" s="243">
        <f t="shared" si="1"/>
        <v>0</v>
      </c>
      <c r="H20" s="413" t="e">
        <f t="shared" si="2"/>
        <v>#DIV/0!</v>
      </c>
      <c r="I20" s="1599"/>
      <c r="J20" s="1599"/>
      <c r="K20" s="1599"/>
      <c r="L20" s="1599"/>
      <c r="M20" s="1599"/>
      <c r="N20" s="1599"/>
      <c r="O20" s="1599"/>
      <c r="P20" s="1599"/>
      <c r="Q20" s="1599"/>
      <c r="R20" s="1600"/>
      <c r="S20" s="427"/>
      <c r="T20" s="428"/>
      <c r="U20" s="428"/>
      <c r="V20" s="427"/>
      <c r="W20" s="429"/>
      <c r="X20" s="434"/>
    </row>
    <row r="21" spans="1:30" ht="28.5" customHeight="1" x14ac:dyDescent="0.15">
      <c r="A21" s="426"/>
      <c r="B21" s="212"/>
      <c r="C21" s="212"/>
      <c r="D21" s="196" t="s">
        <v>528</v>
      </c>
      <c r="E21" s="339">
        <v>19000000</v>
      </c>
      <c r="F21" s="339">
        <f>'사. 임직원보수 일람표'!Q103</f>
        <v>0</v>
      </c>
      <c r="G21" s="243">
        <f>F21-E21</f>
        <v>-19000000</v>
      </c>
      <c r="H21" s="413">
        <f t="shared" si="2"/>
        <v>-100</v>
      </c>
      <c r="I21" s="1644" t="s">
        <v>529</v>
      </c>
      <c r="J21" s="1645"/>
      <c r="K21" s="1645"/>
      <c r="L21" s="1645"/>
      <c r="M21" s="1645"/>
      <c r="N21" s="1645"/>
      <c r="O21" s="1645"/>
      <c r="P21" s="1645"/>
      <c r="Q21" s="1645"/>
      <c r="R21" s="1646"/>
      <c r="S21" s="427"/>
      <c r="T21" s="428"/>
      <c r="U21" s="428"/>
      <c r="V21" s="427"/>
      <c r="W21" s="429"/>
      <c r="X21" s="434"/>
      <c r="Z21" s="138"/>
    </row>
    <row r="22" spans="1:30" ht="16.5" hidden="1" customHeight="1" x14ac:dyDescent="0.15">
      <c r="A22" s="426"/>
      <c r="B22" s="212"/>
      <c r="C22" s="212"/>
      <c r="D22" s="308"/>
      <c r="E22" s="339">
        <v>0</v>
      </c>
      <c r="F22" s="339">
        <v>0</v>
      </c>
      <c r="G22" s="243">
        <f t="shared" si="1"/>
        <v>0</v>
      </c>
      <c r="H22" s="413" t="e">
        <f t="shared" si="2"/>
        <v>#DIV/0!</v>
      </c>
      <c r="I22" s="1599"/>
      <c r="J22" s="1599"/>
      <c r="K22" s="1599"/>
      <c r="L22" s="1599"/>
      <c r="M22" s="1599"/>
      <c r="N22" s="1599"/>
      <c r="O22" s="1599"/>
      <c r="P22" s="1599"/>
      <c r="Q22" s="1599"/>
      <c r="R22" s="1600"/>
      <c r="S22" s="427"/>
      <c r="T22" s="428"/>
      <c r="U22" s="428"/>
      <c r="V22" s="427"/>
      <c r="W22" s="429"/>
      <c r="X22" s="434"/>
    </row>
    <row r="23" spans="1:30" ht="16.5" hidden="1" customHeight="1" x14ac:dyDescent="0.15">
      <c r="A23" s="426"/>
      <c r="B23" s="212"/>
      <c r="C23" s="212"/>
      <c r="D23" s="308"/>
      <c r="E23" s="339">
        <v>0</v>
      </c>
      <c r="F23" s="339">
        <v>0</v>
      </c>
      <c r="G23" s="243">
        <f t="shared" si="1"/>
        <v>0</v>
      </c>
      <c r="H23" s="413" t="e">
        <f t="shared" si="2"/>
        <v>#DIV/0!</v>
      </c>
      <c r="I23" s="1601"/>
      <c r="J23" s="1602"/>
      <c r="K23" s="1602"/>
      <c r="L23" s="1602"/>
      <c r="M23" s="1602"/>
      <c r="N23" s="1602"/>
      <c r="O23" s="1602"/>
      <c r="P23" s="1602"/>
      <c r="Q23" s="1602"/>
      <c r="R23" s="1603"/>
      <c r="S23" s="427"/>
      <c r="T23" s="428"/>
      <c r="U23" s="428"/>
      <c r="V23" s="427"/>
      <c r="W23" s="429"/>
      <c r="X23" s="434"/>
    </row>
    <row r="24" spans="1:30" ht="16.5" hidden="1" customHeight="1" x14ac:dyDescent="0.15">
      <c r="A24" s="426"/>
      <c r="B24" s="212"/>
      <c r="C24" s="212"/>
      <c r="D24" s="308"/>
      <c r="E24" s="339">
        <v>0</v>
      </c>
      <c r="F24" s="339">
        <v>0</v>
      </c>
      <c r="G24" s="243">
        <f t="shared" si="1"/>
        <v>0</v>
      </c>
      <c r="H24" s="413" t="e">
        <f t="shared" si="2"/>
        <v>#DIV/0!</v>
      </c>
      <c r="I24" s="1596"/>
      <c r="J24" s="1597"/>
      <c r="K24" s="1597"/>
      <c r="L24" s="1597"/>
      <c r="M24" s="1597"/>
      <c r="N24" s="1597"/>
      <c r="O24" s="1597"/>
      <c r="P24" s="1597"/>
      <c r="Q24" s="1597"/>
      <c r="R24" s="1598"/>
      <c r="S24" s="427"/>
      <c r="T24" s="428"/>
      <c r="U24" s="428"/>
      <c r="V24" s="427"/>
      <c r="W24" s="429"/>
      <c r="X24" s="434"/>
    </row>
    <row r="25" spans="1:30" ht="16.5" hidden="1" customHeight="1" x14ac:dyDescent="0.15">
      <c r="A25" s="426"/>
      <c r="B25" s="212"/>
      <c r="C25" s="214"/>
      <c r="D25" s="308"/>
      <c r="E25" s="339">
        <v>0</v>
      </c>
      <c r="F25" s="339">
        <v>0</v>
      </c>
      <c r="G25" s="243">
        <f t="shared" si="1"/>
        <v>0</v>
      </c>
      <c r="H25" s="413" t="e">
        <f t="shared" si="2"/>
        <v>#DIV/0!</v>
      </c>
      <c r="I25" s="1596"/>
      <c r="J25" s="1597"/>
      <c r="K25" s="1597"/>
      <c r="L25" s="1597"/>
      <c r="M25" s="1597"/>
      <c r="N25" s="1597"/>
      <c r="O25" s="1597"/>
      <c r="P25" s="1597"/>
      <c r="Q25" s="1597"/>
      <c r="R25" s="1598"/>
      <c r="S25" s="427"/>
      <c r="T25" s="428"/>
      <c r="U25" s="428"/>
      <c r="V25" s="427"/>
      <c r="W25" s="429"/>
      <c r="X25" s="434"/>
    </row>
    <row r="26" spans="1:30" ht="25.5" customHeight="1" x14ac:dyDescent="0.15">
      <c r="A26" s="426"/>
      <c r="B26" s="212"/>
      <c r="C26" s="435" t="s">
        <v>530</v>
      </c>
      <c r="D26" s="436"/>
      <c r="E26" s="339">
        <v>1583330</v>
      </c>
      <c r="F26" s="339">
        <f>Y27</f>
        <v>0</v>
      </c>
      <c r="G26" s="243">
        <f t="shared" si="1"/>
        <v>-1583330</v>
      </c>
      <c r="H26" s="413">
        <f t="shared" si="2"/>
        <v>-100</v>
      </c>
      <c r="I26" s="1599"/>
      <c r="J26" s="1599"/>
      <c r="K26" s="1599"/>
      <c r="L26" s="1599"/>
      <c r="M26" s="1599"/>
      <c r="N26" s="1599"/>
      <c r="O26" s="1599"/>
      <c r="P26" s="1599"/>
      <c r="Q26" s="1599"/>
      <c r="R26" s="1600"/>
      <c r="S26" s="427"/>
      <c r="T26" s="437">
        <f>F26</f>
        <v>0</v>
      </c>
      <c r="V26" s="427"/>
      <c r="W26" s="432"/>
      <c r="X26" s="434">
        <f>F26-S26-T26-U26-V26-W26</f>
        <v>0</v>
      </c>
    </row>
    <row r="27" spans="1:30" ht="25.5" customHeight="1" x14ac:dyDescent="0.15">
      <c r="A27" s="426"/>
      <c r="B27" s="212"/>
      <c r="C27" s="438" t="s">
        <v>531</v>
      </c>
      <c r="D27" s="438" t="s">
        <v>258</v>
      </c>
      <c r="E27" s="339">
        <v>927730</v>
      </c>
      <c r="F27" s="339">
        <f>SUM(F28:F31)</f>
        <v>-66600</v>
      </c>
      <c r="G27" s="243">
        <f t="shared" si="1"/>
        <v>-994330</v>
      </c>
      <c r="H27" s="413">
        <f t="shared" si="2"/>
        <v>-107.17881280113826</v>
      </c>
      <c r="I27" s="1601"/>
      <c r="J27" s="1602"/>
      <c r="K27" s="1602"/>
      <c r="L27" s="1602"/>
      <c r="M27" s="1602"/>
      <c r="N27" s="1602"/>
      <c r="O27" s="1602"/>
      <c r="P27" s="1602"/>
      <c r="Q27" s="1602"/>
      <c r="R27" s="1603"/>
      <c r="S27" s="427"/>
      <c r="T27" s="398">
        <f>F27</f>
        <v>-66600</v>
      </c>
      <c r="U27" s="428"/>
      <c r="V27" s="427"/>
      <c r="W27" s="429"/>
      <c r="X27" s="434">
        <f>F27-S27-T27-U27-V27-W27</f>
        <v>0</v>
      </c>
      <c r="Y27" s="18">
        <f>ROUNDUP(F21*1/12,-1)</f>
        <v>0</v>
      </c>
    </row>
    <row r="28" spans="1:30" ht="27" customHeight="1" x14ac:dyDescent="0.15">
      <c r="A28" s="426"/>
      <c r="B28" s="212"/>
      <c r="C28" s="439"/>
      <c r="D28" s="440" t="s">
        <v>532</v>
      </c>
      <c r="E28" s="350">
        <v>665930</v>
      </c>
      <c r="F28" s="350">
        <f>AB28</f>
        <v>0</v>
      </c>
      <c r="G28" s="243">
        <f t="shared" si="1"/>
        <v>-665930</v>
      </c>
      <c r="H28" s="413">
        <f t="shared" si="2"/>
        <v>-100</v>
      </c>
      <c r="I28" s="1557" t="s">
        <v>533</v>
      </c>
      <c r="J28" s="1558"/>
      <c r="K28" s="1558"/>
      <c r="L28" s="1558"/>
      <c r="M28" s="1558"/>
      <c r="N28" s="1558"/>
      <c r="O28" s="1558"/>
      <c r="P28" s="1558"/>
      <c r="Q28" s="1558"/>
      <c r="R28" s="1559"/>
      <c r="S28" s="441"/>
      <c r="T28" s="442"/>
      <c r="U28" s="429"/>
      <c r="V28" s="441"/>
      <c r="W28" s="442"/>
      <c r="X28" s="434" t="s">
        <v>635</v>
      </c>
      <c r="Y28" s="11">
        <f>F21</f>
        <v>0</v>
      </c>
      <c r="Z28" s="352">
        <f>ROUNDUP((Y28*6.67%)/2,-1)</f>
        <v>0</v>
      </c>
      <c r="AA28" s="352">
        <f>ROUNDUP(Z28*10.25%,-1)</f>
        <v>0</v>
      </c>
      <c r="AB28" s="353">
        <f>SUM(Z28:AA28)</f>
        <v>0</v>
      </c>
    </row>
    <row r="29" spans="1:30" ht="16.5" hidden="1" customHeight="1" x14ac:dyDescent="0.15">
      <c r="A29" s="426"/>
      <c r="B29" s="212"/>
      <c r="C29" s="443"/>
      <c r="D29" s="444" t="s">
        <v>534</v>
      </c>
      <c r="E29" s="339">
        <v>0</v>
      </c>
      <c r="F29" s="339">
        <v>0</v>
      </c>
      <c r="G29" s="243">
        <f t="shared" si="1"/>
        <v>0</v>
      </c>
      <c r="H29" s="413" t="e">
        <f t="shared" si="2"/>
        <v>#DIV/0!</v>
      </c>
      <c r="I29" s="1599"/>
      <c r="J29" s="1599"/>
      <c r="K29" s="1599"/>
      <c r="L29" s="1599"/>
      <c r="M29" s="1599"/>
      <c r="N29" s="1599"/>
      <c r="O29" s="1599"/>
      <c r="P29" s="1599"/>
      <c r="Q29" s="1599"/>
      <c r="R29" s="1600"/>
      <c r="S29" s="441"/>
      <c r="T29" s="429"/>
      <c r="U29" s="429"/>
      <c r="V29" s="441"/>
      <c r="W29" s="429"/>
      <c r="X29" s="434"/>
      <c r="Y29" s="11">
        <f>'[1]인건비총계표(보조금)'!Z16-'[1]인건비총계표(보조금)'!Z641</f>
        <v>23030</v>
      </c>
      <c r="Z29" s="11">
        <f>ROUNDUP(Y29*4.5%,-1)</f>
        <v>1040</v>
      </c>
      <c r="AA29" s="11">
        <f>K29-Z29</f>
        <v>-1040</v>
      </c>
      <c r="AB29" s="349">
        <f>SUM(Z29:AA29)</f>
        <v>0</v>
      </c>
    </row>
    <row r="30" spans="1:30" ht="24" customHeight="1" x14ac:dyDescent="0.15">
      <c r="A30" s="426"/>
      <c r="B30" s="212"/>
      <c r="C30" s="443"/>
      <c r="D30" s="444" t="s">
        <v>535</v>
      </c>
      <c r="E30" s="339">
        <v>138600</v>
      </c>
      <c r="F30" s="339">
        <f>AB30</f>
        <v>-37800</v>
      </c>
      <c r="G30" s="243">
        <f t="shared" si="1"/>
        <v>-176400</v>
      </c>
      <c r="H30" s="413">
        <f t="shared" si="2"/>
        <v>-127.27272727272727</v>
      </c>
      <c r="I30" s="1528" t="s">
        <v>536</v>
      </c>
      <c r="J30" s="1529"/>
      <c r="K30" s="1529"/>
      <c r="L30" s="1529"/>
      <c r="M30" s="1529"/>
      <c r="N30" s="1529"/>
      <c r="O30" s="1529"/>
      <c r="P30" s="1529"/>
      <c r="Q30" s="1529"/>
      <c r="R30" s="1530"/>
      <c r="S30" s="441"/>
      <c r="T30" s="442"/>
      <c r="U30" s="429"/>
      <c r="V30" s="441"/>
      <c r="W30" s="442"/>
      <c r="X30" s="434" t="s">
        <v>636</v>
      </c>
      <c r="Y30" s="11">
        <f>F21-3600000</f>
        <v>-3600000</v>
      </c>
      <c r="Z30" s="11">
        <f>ROUNDUP(Y30*1.05%,-1)</f>
        <v>-37800</v>
      </c>
      <c r="AA30" s="11"/>
      <c r="AB30" s="349">
        <f>SUM(Z30:AA30)</f>
        <v>-37800</v>
      </c>
    </row>
    <row r="31" spans="1:30" ht="24" customHeight="1" x14ac:dyDescent="0.15">
      <c r="A31" s="426"/>
      <c r="B31" s="212"/>
      <c r="C31" s="445"/>
      <c r="D31" s="444" t="s">
        <v>537</v>
      </c>
      <c r="E31" s="339">
        <v>123200</v>
      </c>
      <c r="F31" s="339">
        <f>AB31</f>
        <v>-28800</v>
      </c>
      <c r="G31" s="243">
        <f t="shared" si="1"/>
        <v>-152000</v>
      </c>
      <c r="H31" s="413">
        <f t="shared" si="2"/>
        <v>-123.37662337662339</v>
      </c>
      <c r="I31" s="1528" t="s">
        <v>538</v>
      </c>
      <c r="J31" s="1529"/>
      <c r="K31" s="1529"/>
      <c r="L31" s="1529"/>
      <c r="M31" s="1529"/>
      <c r="N31" s="1529"/>
      <c r="O31" s="1529"/>
      <c r="P31" s="1529"/>
      <c r="Q31" s="1529"/>
      <c r="R31" s="1530"/>
      <c r="S31" s="441"/>
      <c r="T31" s="442"/>
      <c r="U31" s="429"/>
      <c r="V31" s="441"/>
      <c r="W31" s="442"/>
      <c r="X31" s="434" t="s">
        <v>637</v>
      </c>
      <c r="Y31" s="11">
        <f>F21-3600000</f>
        <v>-3600000</v>
      </c>
      <c r="Z31" s="11">
        <f>ROUNDUP(Y31*0.8%,-1)</f>
        <v>-28800</v>
      </c>
      <c r="AA31" s="11"/>
      <c r="AB31" s="349">
        <f>SUM(Z31:AA31)</f>
        <v>-28800</v>
      </c>
    </row>
    <row r="32" spans="1:30" ht="22.5" customHeight="1" x14ac:dyDescent="0.15">
      <c r="A32" s="426"/>
      <c r="B32" s="214"/>
      <c r="C32" s="196" t="s">
        <v>266</v>
      </c>
      <c r="D32" s="196"/>
      <c r="E32" s="339">
        <v>12000000</v>
      </c>
      <c r="F32" s="339">
        <v>12000000</v>
      </c>
      <c r="G32" s="243">
        <f t="shared" si="1"/>
        <v>0</v>
      </c>
      <c r="H32" s="413">
        <f t="shared" si="2"/>
        <v>0</v>
      </c>
      <c r="I32" s="1641" t="s">
        <v>539</v>
      </c>
      <c r="J32" s="1642"/>
      <c r="K32" s="1642"/>
      <c r="L32" s="1642"/>
      <c r="M32" s="1642"/>
      <c r="N32" s="1642"/>
      <c r="O32" s="1642"/>
      <c r="P32" s="1642"/>
      <c r="Q32" s="1642"/>
      <c r="R32" s="1643"/>
      <c r="S32" s="427"/>
      <c r="T32" s="398">
        <f>'라. 세출내역서'!I665</f>
        <v>5500000</v>
      </c>
      <c r="U32" s="446">
        <v>2000000</v>
      </c>
      <c r="V32" s="427"/>
      <c r="W32" s="429"/>
      <c r="X32" s="434">
        <f>F32-S32-T32-U32-V32-W32</f>
        <v>4500000</v>
      </c>
      <c r="AD32" s="138"/>
    </row>
    <row r="33" spans="1:24" ht="24.75" customHeight="1" x14ac:dyDescent="0.15">
      <c r="A33" s="426"/>
      <c r="B33" s="230" t="s">
        <v>540</v>
      </c>
      <c r="C33" s="196" t="s">
        <v>258</v>
      </c>
      <c r="D33" s="196"/>
      <c r="E33" s="335">
        <v>2000000</v>
      </c>
      <c r="F33" s="335">
        <f>SUM(F34:F37)</f>
        <v>2000000</v>
      </c>
      <c r="G33" s="243">
        <f t="shared" si="1"/>
        <v>0</v>
      </c>
      <c r="H33" s="413">
        <f t="shared" si="2"/>
        <v>0</v>
      </c>
      <c r="I33" s="1599"/>
      <c r="J33" s="1599"/>
      <c r="K33" s="1599"/>
      <c r="L33" s="1599"/>
      <c r="M33" s="1599"/>
      <c r="N33" s="1599"/>
      <c r="O33" s="1599"/>
      <c r="P33" s="1599"/>
      <c r="Q33" s="1599"/>
      <c r="R33" s="1600"/>
      <c r="S33" s="427"/>
      <c r="T33" s="429"/>
      <c r="U33" s="429"/>
      <c r="V33" s="427"/>
      <c r="W33" s="429"/>
      <c r="X33" s="434"/>
    </row>
    <row r="34" spans="1:24" ht="16.5" customHeight="1" x14ac:dyDescent="0.15">
      <c r="A34" s="426"/>
      <c r="B34" s="210"/>
      <c r="C34" s="196" t="s">
        <v>456</v>
      </c>
      <c r="D34" s="196"/>
      <c r="E34" s="339">
        <v>0</v>
      </c>
      <c r="F34" s="339">
        <v>0</v>
      </c>
      <c r="G34" s="243">
        <f t="shared" si="1"/>
        <v>0</v>
      </c>
      <c r="H34" s="413" t="e">
        <f t="shared" si="2"/>
        <v>#DIV/0!</v>
      </c>
      <c r="I34" s="1599"/>
      <c r="J34" s="1599"/>
      <c r="K34" s="1599"/>
      <c r="L34" s="1599"/>
      <c r="M34" s="1599"/>
      <c r="N34" s="1599"/>
      <c r="O34" s="1599"/>
      <c r="P34" s="1599"/>
      <c r="Q34" s="1599"/>
      <c r="R34" s="1600"/>
      <c r="S34" s="427"/>
      <c r="T34" s="429"/>
      <c r="U34" s="429"/>
      <c r="V34" s="427"/>
      <c r="W34" s="429"/>
      <c r="X34" s="434"/>
    </row>
    <row r="35" spans="1:24" ht="16.5" customHeight="1" x14ac:dyDescent="0.15">
      <c r="A35" s="447"/>
      <c r="B35" s="448"/>
      <c r="C35" s="318" t="s">
        <v>457</v>
      </c>
      <c r="D35" s="318"/>
      <c r="E35" s="449">
        <v>0</v>
      </c>
      <c r="F35" s="449">
        <v>0</v>
      </c>
      <c r="G35" s="243">
        <f t="shared" si="1"/>
        <v>0</v>
      </c>
      <c r="H35" s="413" t="e">
        <f t="shared" si="2"/>
        <v>#DIV/0!</v>
      </c>
      <c r="I35" s="1632"/>
      <c r="J35" s="1633"/>
      <c r="K35" s="1633"/>
      <c r="L35" s="1633"/>
      <c r="M35" s="1633"/>
      <c r="N35" s="1633"/>
      <c r="O35" s="1633"/>
      <c r="P35" s="1633"/>
      <c r="Q35" s="1633"/>
      <c r="R35" s="1634"/>
      <c r="S35" s="427"/>
      <c r="T35" s="429"/>
      <c r="U35" s="429"/>
      <c r="V35" s="427"/>
      <c r="W35" s="429"/>
      <c r="X35" s="434"/>
    </row>
    <row r="36" spans="1:24" ht="0.75" customHeight="1" x14ac:dyDescent="0.15">
      <c r="A36" s="426"/>
      <c r="B36" s="212"/>
      <c r="C36" s="196" t="s">
        <v>541</v>
      </c>
      <c r="D36" s="196"/>
      <c r="E36" s="339">
        <v>0</v>
      </c>
      <c r="F36" s="339">
        <v>0</v>
      </c>
      <c r="G36" s="243">
        <f t="shared" si="1"/>
        <v>0</v>
      </c>
      <c r="H36" s="413" t="e">
        <f t="shared" si="2"/>
        <v>#DIV/0!</v>
      </c>
      <c r="I36" s="1599"/>
      <c r="J36" s="1599"/>
      <c r="K36" s="1599"/>
      <c r="L36" s="1599"/>
      <c r="M36" s="1599"/>
      <c r="N36" s="1599"/>
      <c r="O36" s="1599"/>
      <c r="P36" s="1599"/>
      <c r="Q36" s="1599"/>
      <c r="R36" s="1600"/>
      <c r="S36" s="427"/>
      <c r="T36" s="429"/>
      <c r="U36" s="429"/>
      <c r="V36" s="427"/>
      <c r="W36" s="429"/>
      <c r="X36" s="434"/>
    </row>
    <row r="37" spans="1:24" ht="22.5" customHeight="1" x14ac:dyDescent="0.15">
      <c r="A37" s="426"/>
      <c r="B37" s="214"/>
      <c r="C37" s="196" t="s">
        <v>269</v>
      </c>
      <c r="D37" s="196"/>
      <c r="E37" s="339">
        <v>2000000</v>
      </c>
      <c r="F37" s="339">
        <v>2000000</v>
      </c>
      <c r="G37" s="243">
        <f t="shared" si="1"/>
        <v>0</v>
      </c>
      <c r="H37" s="413">
        <f t="shared" si="2"/>
        <v>0</v>
      </c>
      <c r="I37" s="1599" t="s">
        <v>542</v>
      </c>
      <c r="J37" s="1599"/>
      <c r="K37" s="1599"/>
      <c r="L37" s="1599"/>
      <c r="M37" s="1599"/>
      <c r="N37" s="1599"/>
      <c r="O37" s="1599"/>
      <c r="P37" s="1599"/>
      <c r="Q37" s="1599"/>
      <c r="R37" s="1600"/>
      <c r="S37" s="427"/>
      <c r="T37" s="429"/>
      <c r="U37" s="446">
        <v>2000000</v>
      </c>
      <c r="V37" s="427"/>
      <c r="W37" s="429"/>
      <c r="X37" s="434">
        <f>F37-S37-T37-U37-V37-W37</f>
        <v>0</v>
      </c>
    </row>
    <row r="38" spans="1:24" ht="22.5" customHeight="1" x14ac:dyDescent="0.15">
      <c r="A38" s="426"/>
      <c r="B38" s="196" t="s">
        <v>270</v>
      </c>
      <c r="C38" s="196" t="s">
        <v>258</v>
      </c>
      <c r="D38" s="196"/>
      <c r="E38" s="339">
        <v>53288940</v>
      </c>
      <c r="F38" s="339">
        <f>SUM(F39:F44)</f>
        <v>55915440</v>
      </c>
      <c r="G38" s="243">
        <f t="shared" si="1"/>
        <v>2626500</v>
      </c>
      <c r="H38" s="413">
        <f t="shared" si="2"/>
        <v>4.9287901016608702</v>
      </c>
      <c r="I38" s="1599"/>
      <c r="J38" s="1599"/>
      <c r="K38" s="1599"/>
      <c r="L38" s="1599"/>
      <c r="M38" s="1599"/>
      <c r="N38" s="1599"/>
      <c r="O38" s="1599"/>
      <c r="P38" s="1599"/>
      <c r="Q38" s="1599"/>
      <c r="R38" s="1600"/>
      <c r="S38" s="427"/>
      <c r="T38" s="429"/>
      <c r="U38" s="429"/>
      <c r="V38" s="427"/>
      <c r="W38" s="429"/>
      <c r="X38" s="434"/>
    </row>
    <row r="39" spans="1:24" ht="22.5" customHeight="1" x14ac:dyDescent="0.15">
      <c r="A39" s="426"/>
      <c r="B39" s="210"/>
      <c r="C39" s="196" t="s">
        <v>272</v>
      </c>
      <c r="D39" s="196"/>
      <c r="E39" s="339">
        <v>0</v>
      </c>
      <c r="F39" s="339"/>
      <c r="G39" s="243">
        <f t="shared" si="1"/>
        <v>0</v>
      </c>
      <c r="H39" s="413">
        <v>0</v>
      </c>
      <c r="I39" s="1599"/>
      <c r="J39" s="1599"/>
      <c r="K39" s="1599"/>
      <c r="L39" s="1599"/>
      <c r="M39" s="1599"/>
      <c r="N39" s="1599"/>
      <c r="O39" s="1599"/>
      <c r="P39" s="1599"/>
      <c r="Q39" s="1599"/>
      <c r="R39" s="1600"/>
      <c r="S39" s="427"/>
      <c r="T39" s="429"/>
      <c r="U39" s="429"/>
      <c r="V39" s="427"/>
      <c r="W39" s="429"/>
      <c r="X39" s="434"/>
    </row>
    <row r="40" spans="1:24" ht="22.5" customHeight="1" x14ac:dyDescent="0.15">
      <c r="A40" s="426"/>
      <c r="B40" s="212"/>
      <c r="C40" s="196" t="s">
        <v>460</v>
      </c>
      <c r="D40" s="308"/>
      <c r="E40" s="339">
        <v>5688940</v>
      </c>
      <c r="F40" s="339">
        <f>5915440+500000</f>
        <v>6415440</v>
      </c>
      <c r="G40" s="243">
        <f t="shared" si="1"/>
        <v>726500</v>
      </c>
      <c r="H40" s="413">
        <f t="shared" si="2"/>
        <v>12.770393078499687</v>
      </c>
      <c r="I40" s="1514" t="s">
        <v>461</v>
      </c>
      <c r="J40" s="1520"/>
      <c r="K40" s="1520"/>
      <c r="L40" s="1520"/>
      <c r="M40" s="1520"/>
      <c r="N40" s="1520"/>
      <c r="O40" s="1520"/>
      <c r="P40" s="1520"/>
      <c r="Q40" s="1520"/>
      <c r="R40" s="1521"/>
      <c r="S40" s="427"/>
      <c r="T40" s="398">
        <f>'라. 세출내역서'!I685</f>
        <v>2500000</v>
      </c>
      <c r="U40" s="446">
        <f>F40-T40</f>
        <v>3915440</v>
      </c>
      <c r="V40" s="427"/>
      <c r="W40" s="429"/>
      <c r="X40" s="434">
        <f>F40-S40-T40-U40-V40-W40</f>
        <v>0</v>
      </c>
    </row>
    <row r="41" spans="1:24" ht="22.5" customHeight="1" x14ac:dyDescent="0.15">
      <c r="A41" s="426"/>
      <c r="B41" s="212"/>
      <c r="C41" s="196" t="s">
        <v>275</v>
      </c>
      <c r="D41" s="196"/>
      <c r="E41" s="339">
        <v>41100000</v>
      </c>
      <c r="F41" s="339">
        <v>43000000</v>
      </c>
      <c r="G41" s="243">
        <f t="shared" si="1"/>
        <v>1900000</v>
      </c>
      <c r="H41" s="413">
        <f t="shared" si="2"/>
        <v>4.6228710462287106</v>
      </c>
      <c r="I41" s="1551" t="s">
        <v>462</v>
      </c>
      <c r="J41" s="1520"/>
      <c r="K41" s="1520"/>
      <c r="L41" s="1520"/>
      <c r="M41" s="1520"/>
      <c r="N41" s="1520"/>
      <c r="O41" s="1520"/>
      <c r="P41" s="1520"/>
      <c r="Q41" s="1520"/>
      <c r="R41" s="1521"/>
      <c r="S41" s="450">
        <f>F41-T41</f>
        <v>41000000</v>
      </c>
      <c r="T41" s="398">
        <v>2000000</v>
      </c>
      <c r="U41" s="446"/>
      <c r="V41" s="427"/>
      <c r="W41" s="429"/>
      <c r="X41" s="434">
        <f>F41-S41-T41-U41-V41-W41</f>
        <v>0</v>
      </c>
    </row>
    <row r="42" spans="1:24" ht="22.5" customHeight="1" x14ac:dyDescent="0.15">
      <c r="A42" s="426"/>
      <c r="B42" s="212"/>
      <c r="C42" s="196" t="s">
        <v>276</v>
      </c>
      <c r="D42" s="196"/>
      <c r="E42" s="339">
        <v>2000000</v>
      </c>
      <c r="F42" s="339">
        <v>2000000</v>
      </c>
      <c r="G42" s="243">
        <f t="shared" si="1"/>
        <v>0</v>
      </c>
      <c r="H42" s="413">
        <f t="shared" si="2"/>
        <v>0</v>
      </c>
      <c r="I42" s="1599" t="s">
        <v>276</v>
      </c>
      <c r="J42" s="1599"/>
      <c r="K42" s="1599"/>
      <c r="L42" s="1599"/>
      <c r="M42" s="1599"/>
      <c r="N42" s="1599"/>
      <c r="O42" s="1599"/>
      <c r="P42" s="1599"/>
      <c r="Q42" s="1599"/>
      <c r="R42" s="1600"/>
      <c r="S42" s="450">
        <f>F42</f>
        <v>2000000</v>
      </c>
      <c r="T42" s="429"/>
      <c r="U42" s="429"/>
      <c r="V42" s="427"/>
      <c r="W42" s="429"/>
      <c r="X42" s="434">
        <f>F42-S42-T42-U42-V42-W42</f>
        <v>0</v>
      </c>
    </row>
    <row r="43" spans="1:24" ht="22.5" customHeight="1" x14ac:dyDescent="0.15">
      <c r="A43" s="426"/>
      <c r="B43" s="212"/>
      <c r="C43" s="196" t="s">
        <v>277</v>
      </c>
      <c r="D43" s="196"/>
      <c r="E43" s="339">
        <v>500000</v>
      </c>
      <c r="F43" s="339">
        <v>500000</v>
      </c>
      <c r="G43" s="243">
        <f t="shared" si="1"/>
        <v>0</v>
      </c>
      <c r="H43" s="413">
        <f t="shared" si="2"/>
        <v>0</v>
      </c>
      <c r="I43" s="1635" t="s">
        <v>543</v>
      </c>
      <c r="J43" s="1636"/>
      <c r="K43" s="1636"/>
      <c r="L43" s="1636"/>
      <c r="M43" s="1636"/>
      <c r="N43" s="1636"/>
      <c r="O43" s="1636"/>
      <c r="P43" s="1636"/>
      <c r="Q43" s="1636"/>
      <c r="R43" s="1637"/>
      <c r="S43" s="427"/>
      <c r="T43" s="398">
        <f>F43</f>
        <v>500000</v>
      </c>
      <c r="U43" s="429"/>
      <c r="V43" s="427"/>
      <c r="W43" s="429"/>
      <c r="X43" s="434">
        <f>F43-S43-T43-U43-V43-W43</f>
        <v>0</v>
      </c>
    </row>
    <row r="44" spans="1:24" ht="22.5" customHeight="1" x14ac:dyDescent="0.15">
      <c r="A44" s="451"/>
      <c r="B44" s="214"/>
      <c r="C44" s="196" t="s">
        <v>278</v>
      </c>
      <c r="D44" s="196"/>
      <c r="E44" s="339">
        <v>4000000</v>
      </c>
      <c r="F44" s="339">
        <v>4000000</v>
      </c>
      <c r="G44" s="243">
        <f t="shared" si="1"/>
        <v>0</v>
      </c>
      <c r="H44" s="413">
        <f t="shared" si="2"/>
        <v>0</v>
      </c>
      <c r="I44" s="1638" t="s">
        <v>544</v>
      </c>
      <c r="J44" s="1639"/>
      <c r="K44" s="1639"/>
      <c r="L44" s="1639"/>
      <c r="M44" s="1639"/>
      <c r="N44" s="1639"/>
      <c r="O44" s="1639"/>
      <c r="P44" s="1639"/>
      <c r="Q44" s="1639"/>
      <c r="R44" s="1640"/>
      <c r="S44" s="427"/>
      <c r="T44" s="398">
        <f>F44-2000000</f>
        <v>2000000</v>
      </c>
      <c r="U44" s="446">
        <v>2000000</v>
      </c>
      <c r="V44" s="427"/>
      <c r="W44" s="429"/>
      <c r="X44" s="434">
        <f>F44-S44-T44-U44-V44-W44</f>
        <v>0</v>
      </c>
    </row>
    <row r="45" spans="1:24" ht="22.5" customHeight="1" x14ac:dyDescent="0.15">
      <c r="A45" s="452" t="s">
        <v>279</v>
      </c>
      <c r="B45" s="412" t="s">
        <v>255</v>
      </c>
      <c r="C45" s="201"/>
      <c r="D45" s="196"/>
      <c r="E45" s="339">
        <v>5000000</v>
      </c>
      <c r="F45" s="339">
        <f>F46</f>
        <v>8000000</v>
      </c>
      <c r="G45" s="243">
        <f t="shared" si="1"/>
        <v>3000000</v>
      </c>
      <c r="H45" s="453">
        <f t="shared" si="2"/>
        <v>60</v>
      </c>
      <c r="I45" s="1599"/>
      <c r="J45" s="1599"/>
      <c r="K45" s="1599"/>
      <c r="L45" s="1599"/>
      <c r="M45" s="1599"/>
      <c r="N45" s="1599"/>
      <c r="O45" s="1599"/>
      <c r="P45" s="1599"/>
      <c r="Q45" s="1599"/>
      <c r="R45" s="1600"/>
      <c r="S45" s="427"/>
      <c r="T45" s="429"/>
      <c r="U45" s="429"/>
      <c r="V45" s="427"/>
      <c r="W45" s="429"/>
      <c r="X45" s="434"/>
    </row>
    <row r="46" spans="1:24" ht="22.5" customHeight="1" x14ac:dyDescent="0.15">
      <c r="A46" s="454"/>
      <c r="B46" s="196" t="s">
        <v>280</v>
      </c>
      <c r="C46" s="196" t="s">
        <v>258</v>
      </c>
      <c r="D46" s="196"/>
      <c r="E46" s="339">
        <v>5000000</v>
      </c>
      <c r="F46" s="339">
        <f>SUM(F47:F49)</f>
        <v>8000000</v>
      </c>
      <c r="G46" s="243">
        <f t="shared" si="1"/>
        <v>3000000</v>
      </c>
      <c r="H46" s="453">
        <f t="shared" si="2"/>
        <v>60</v>
      </c>
      <c r="I46" s="1601"/>
      <c r="J46" s="1602"/>
      <c r="K46" s="1602"/>
      <c r="L46" s="1602"/>
      <c r="M46" s="1602"/>
      <c r="N46" s="1602"/>
      <c r="O46" s="1602"/>
      <c r="P46" s="1602"/>
      <c r="Q46" s="1602"/>
      <c r="R46" s="1603"/>
      <c r="S46" s="427"/>
      <c r="T46" s="429"/>
      <c r="U46" s="429"/>
      <c r="V46" s="427"/>
      <c r="W46" s="429"/>
      <c r="X46" s="434"/>
    </row>
    <row r="47" spans="1:24" ht="16.5" customHeight="1" x14ac:dyDescent="0.15">
      <c r="A47" s="426"/>
      <c r="B47" s="210"/>
      <c r="C47" s="196" t="s">
        <v>280</v>
      </c>
      <c r="D47" s="196"/>
      <c r="E47" s="339">
        <v>0</v>
      </c>
      <c r="F47" s="339">
        <v>0</v>
      </c>
      <c r="G47" s="243">
        <f t="shared" si="1"/>
        <v>0</v>
      </c>
      <c r="H47" s="453" t="e">
        <f t="shared" si="2"/>
        <v>#DIV/0!</v>
      </c>
      <c r="I47" s="1599" t="s">
        <v>545</v>
      </c>
      <c r="J47" s="1599"/>
      <c r="K47" s="1599"/>
      <c r="L47" s="1599"/>
      <c r="M47" s="1599"/>
      <c r="N47" s="1599"/>
      <c r="O47" s="1599"/>
      <c r="P47" s="1599"/>
      <c r="Q47" s="1599"/>
      <c r="R47" s="1600"/>
      <c r="S47" s="427"/>
      <c r="T47" s="429"/>
      <c r="U47" s="429"/>
      <c r="V47" s="427"/>
      <c r="W47" s="429"/>
      <c r="X47" s="434"/>
    </row>
    <row r="48" spans="1:24" ht="24" customHeight="1" x14ac:dyDescent="0.15">
      <c r="A48" s="426"/>
      <c r="B48" s="212"/>
      <c r="C48" s="196" t="s">
        <v>281</v>
      </c>
      <c r="D48" s="196"/>
      <c r="E48" s="339">
        <v>5000000</v>
      </c>
      <c r="F48" s="339">
        <v>5000000</v>
      </c>
      <c r="G48" s="243">
        <f t="shared" si="1"/>
        <v>0</v>
      </c>
      <c r="H48" s="453">
        <f t="shared" si="2"/>
        <v>0</v>
      </c>
      <c r="I48" s="1619" t="s">
        <v>546</v>
      </c>
      <c r="J48" s="1620"/>
      <c r="K48" s="1620"/>
      <c r="L48" s="1620"/>
      <c r="M48" s="1620"/>
      <c r="N48" s="1620"/>
      <c r="O48" s="1620"/>
      <c r="P48" s="1620"/>
      <c r="Q48" s="1620"/>
      <c r="R48" s="1621"/>
      <c r="S48" s="427"/>
      <c r="T48" s="398">
        <f>F48</f>
        <v>5000000</v>
      </c>
      <c r="U48" s="429"/>
      <c r="V48" s="427"/>
      <c r="W48" s="429"/>
      <c r="X48" s="434">
        <f>F48-S48-T48-U48-V48-W48</f>
        <v>0</v>
      </c>
    </row>
    <row r="49" spans="1:26" ht="24" customHeight="1" x14ac:dyDescent="0.15">
      <c r="A49" s="455"/>
      <c r="B49" s="456"/>
      <c r="C49" s="311" t="s">
        <v>547</v>
      </c>
      <c r="D49" s="457"/>
      <c r="E49" s="359">
        <v>0</v>
      </c>
      <c r="F49" s="359">
        <v>3000000</v>
      </c>
      <c r="G49" s="244">
        <f t="shared" si="1"/>
        <v>3000000</v>
      </c>
      <c r="H49" s="458" t="e">
        <f t="shared" si="2"/>
        <v>#DIV/0!</v>
      </c>
      <c r="I49" s="1622" t="s">
        <v>548</v>
      </c>
      <c r="J49" s="1622"/>
      <c r="K49" s="1622"/>
      <c r="L49" s="1622"/>
      <c r="M49" s="1622"/>
      <c r="N49" s="1622"/>
      <c r="O49" s="1622"/>
      <c r="P49" s="1622"/>
      <c r="Q49" s="1622"/>
      <c r="R49" s="1623"/>
      <c r="S49" s="427"/>
      <c r="T49" s="429"/>
      <c r="U49" s="446">
        <f>G49</f>
        <v>3000000</v>
      </c>
      <c r="V49" s="427"/>
      <c r="W49" s="429"/>
      <c r="X49" s="434">
        <f>F49-S49-T49-U49-V49-W49</f>
        <v>0</v>
      </c>
    </row>
    <row r="50" spans="1:26" ht="20.25" customHeight="1" x14ac:dyDescent="0.15">
      <c r="A50" s="451" t="s">
        <v>283</v>
      </c>
      <c r="B50" s="459" t="s">
        <v>255</v>
      </c>
      <c r="C50" s="221"/>
      <c r="D50" s="460"/>
      <c r="E50" s="347">
        <v>133000000</v>
      </c>
      <c r="F50" s="347">
        <f>F51+F62+F73</f>
        <v>148000000</v>
      </c>
      <c r="G50" s="461">
        <f t="shared" si="1"/>
        <v>15000000</v>
      </c>
      <c r="H50" s="462">
        <f t="shared" si="2"/>
        <v>11.278195488721805</v>
      </c>
      <c r="I50" s="1624"/>
      <c r="J50" s="1625"/>
      <c r="K50" s="1625"/>
      <c r="L50" s="1625"/>
      <c r="M50" s="1625"/>
      <c r="N50" s="1625"/>
      <c r="O50" s="1625"/>
      <c r="P50" s="1625"/>
      <c r="Q50" s="1625"/>
      <c r="R50" s="1626"/>
      <c r="S50" s="427"/>
      <c r="T50" s="429"/>
      <c r="U50" s="429"/>
      <c r="V50" s="427"/>
      <c r="W50" s="429"/>
      <c r="X50" s="434"/>
    </row>
    <row r="51" spans="1:26" ht="22.5" customHeight="1" x14ac:dyDescent="0.15">
      <c r="A51" s="419"/>
      <c r="B51" s="214" t="s">
        <v>270</v>
      </c>
      <c r="C51" s="214" t="s">
        <v>258</v>
      </c>
      <c r="D51" s="153"/>
      <c r="E51" s="463">
        <v>87000000</v>
      </c>
      <c r="F51" s="463">
        <f>SUM(F52,F53,F54,F57)</f>
        <v>102000000</v>
      </c>
      <c r="G51" s="243">
        <f t="shared" si="1"/>
        <v>15000000</v>
      </c>
      <c r="H51" s="413">
        <f t="shared" si="2"/>
        <v>17.241379310344829</v>
      </c>
      <c r="I51" s="1627"/>
      <c r="J51" s="1627"/>
      <c r="K51" s="1627"/>
      <c r="L51" s="1627"/>
      <c r="M51" s="1627"/>
      <c r="N51" s="1627"/>
      <c r="O51" s="1627"/>
      <c r="P51" s="1627"/>
      <c r="Q51" s="1627"/>
      <c r="R51" s="1628"/>
      <c r="S51" s="427"/>
      <c r="T51" s="429"/>
      <c r="U51" s="429"/>
      <c r="V51" s="427"/>
      <c r="W51" s="429"/>
      <c r="X51" s="434"/>
    </row>
    <row r="52" spans="1:26" ht="22.5" customHeight="1" x14ac:dyDescent="0.15">
      <c r="A52" s="464"/>
      <c r="B52" s="210"/>
      <c r="C52" s="196" t="s">
        <v>286</v>
      </c>
      <c r="D52" s="122"/>
      <c r="E52" s="339">
        <v>70000000</v>
      </c>
      <c r="F52" s="339">
        <v>85000000</v>
      </c>
      <c r="G52" s="243">
        <f t="shared" si="1"/>
        <v>15000000</v>
      </c>
      <c r="H52" s="413">
        <f t="shared" si="2"/>
        <v>21.428571428571427</v>
      </c>
      <c r="I52" s="1629" t="s">
        <v>549</v>
      </c>
      <c r="J52" s="1630"/>
      <c r="K52" s="1630"/>
      <c r="L52" s="1630"/>
      <c r="M52" s="1630"/>
      <c r="N52" s="1630"/>
      <c r="O52" s="1630"/>
      <c r="P52" s="1630"/>
      <c r="Q52" s="1630"/>
      <c r="R52" s="1631"/>
      <c r="S52" s="465">
        <f>F52-V52-U52</f>
        <v>39960000</v>
      </c>
      <c r="T52" s="429"/>
      <c r="U52" s="446">
        <v>4840000</v>
      </c>
      <c r="V52" s="466">
        <f>W5</f>
        <v>40200000</v>
      </c>
      <c r="X52" s="434">
        <f>F52-S52-T52-U52-V52-W52</f>
        <v>0</v>
      </c>
      <c r="Z52" s="14"/>
    </row>
    <row r="53" spans="1:26" ht="22.5" customHeight="1" x14ac:dyDescent="0.15">
      <c r="A53" s="464"/>
      <c r="B53" s="212"/>
      <c r="C53" s="196" t="s">
        <v>288</v>
      </c>
      <c r="D53" s="122"/>
      <c r="E53" s="339">
        <v>4000000</v>
      </c>
      <c r="F53" s="339">
        <v>4000000</v>
      </c>
      <c r="G53" s="243">
        <f t="shared" si="1"/>
        <v>0</v>
      </c>
      <c r="H53" s="413">
        <f t="shared" si="2"/>
        <v>0</v>
      </c>
      <c r="I53" s="1599" t="s">
        <v>550</v>
      </c>
      <c r="J53" s="1599"/>
      <c r="K53" s="1599"/>
      <c r="L53" s="1599"/>
      <c r="M53" s="1599"/>
      <c r="N53" s="1599"/>
      <c r="O53" s="1599"/>
      <c r="P53" s="1599"/>
      <c r="Q53" s="1599"/>
      <c r="R53" s="1600"/>
      <c r="S53" s="465">
        <f>F53</f>
        <v>4000000</v>
      </c>
      <c r="T53" s="429"/>
      <c r="U53" s="429"/>
      <c r="V53" s="427"/>
      <c r="W53" s="429"/>
      <c r="X53" s="434"/>
    </row>
    <row r="54" spans="1:26" ht="22.5" customHeight="1" x14ac:dyDescent="0.15">
      <c r="A54" s="464"/>
      <c r="B54" s="212"/>
      <c r="C54" s="196" t="s">
        <v>475</v>
      </c>
      <c r="D54" s="122" t="s">
        <v>258</v>
      </c>
      <c r="E54" s="339">
        <v>11000000</v>
      </c>
      <c r="F54" s="339">
        <f>SUM(F55:F56)</f>
        <v>11000000</v>
      </c>
      <c r="G54" s="243">
        <f t="shared" si="1"/>
        <v>0</v>
      </c>
      <c r="H54" s="413">
        <f t="shared" si="2"/>
        <v>0</v>
      </c>
      <c r="I54" s="1599"/>
      <c r="J54" s="1599"/>
      <c r="K54" s="1599"/>
      <c r="L54" s="1599"/>
      <c r="M54" s="1599"/>
      <c r="N54" s="1599"/>
      <c r="O54" s="1599"/>
      <c r="P54" s="1599"/>
      <c r="Q54" s="1599"/>
      <c r="R54" s="1600"/>
      <c r="S54" s="427"/>
      <c r="T54" s="429"/>
      <c r="U54" s="429"/>
      <c r="V54" s="427"/>
      <c r="W54" s="429"/>
      <c r="X54" s="434"/>
    </row>
    <row r="55" spans="1:26" ht="22.5" customHeight="1" x14ac:dyDescent="0.15">
      <c r="A55" s="464"/>
      <c r="B55" s="212"/>
      <c r="C55" s="196"/>
      <c r="D55" s="122" t="s">
        <v>475</v>
      </c>
      <c r="E55" s="339">
        <v>3000000</v>
      </c>
      <c r="F55" s="339">
        <v>3000000</v>
      </c>
      <c r="G55" s="243">
        <f t="shared" si="1"/>
        <v>0</v>
      </c>
      <c r="H55" s="413">
        <f t="shared" si="2"/>
        <v>0</v>
      </c>
      <c r="I55" s="1596" t="s">
        <v>551</v>
      </c>
      <c r="J55" s="1597"/>
      <c r="K55" s="1597"/>
      <c r="L55" s="1597"/>
      <c r="M55" s="1597"/>
      <c r="N55" s="1597"/>
      <c r="O55" s="1597"/>
      <c r="P55" s="1597"/>
      <c r="Q55" s="1597"/>
      <c r="R55" s="1598"/>
      <c r="S55" s="465">
        <f>F55</f>
        <v>3000000</v>
      </c>
      <c r="T55" s="429"/>
      <c r="U55" s="429"/>
      <c r="V55" s="427"/>
      <c r="W55" s="429"/>
      <c r="X55" s="434">
        <f>F55-S55-T55-U55-V55-W55</f>
        <v>0</v>
      </c>
    </row>
    <row r="56" spans="1:26" ht="22.5" customHeight="1" x14ac:dyDescent="0.15">
      <c r="A56" s="464"/>
      <c r="B56" s="212"/>
      <c r="C56" s="196"/>
      <c r="D56" s="122" t="s">
        <v>478</v>
      </c>
      <c r="E56" s="339">
        <v>8000000</v>
      </c>
      <c r="F56" s="339">
        <v>8000000</v>
      </c>
      <c r="G56" s="243">
        <f t="shared" si="1"/>
        <v>0</v>
      </c>
      <c r="H56" s="413">
        <f>G56/E56*100</f>
        <v>0</v>
      </c>
      <c r="I56" s="1599" t="s">
        <v>552</v>
      </c>
      <c r="J56" s="1599"/>
      <c r="K56" s="1599"/>
      <c r="L56" s="1599"/>
      <c r="M56" s="1599"/>
      <c r="N56" s="1599"/>
      <c r="O56" s="1599"/>
      <c r="P56" s="1599"/>
      <c r="Q56" s="1599"/>
      <c r="R56" s="1600"/>
      <c r="S56" s="465">
        <f>F56</f>
        <v>8000000</v>
      </c>
      <c r="T56" s="429"/>
      <c r="U56" s="429"/>
      <c r="V56" s="427"/>
      <c r="W56" s="429"/>
      <c r="X56" s="434">
        <f>F56-S56-T56-U56-V56-W56</f>
        <v>0</v>
      </c>
      <c r="Z56" s="138"/>
    </row>
    <row r="57" spans="1:26" ht="22.5" customHeight="1" x14ac:dyDescent="0.15">
      <c r="A57" s="464"/>
      <c r="B57" s="212"/>
      <c r="C57" s="196" t="s">
        <v>290</v>
      </c>
      <c r="D57" s="122"/>
      <c r="E57" s="339">
        <v>2000000</v>
      </c>
      <c r="F57" s="339">
        <v>2000000</v>
      </c>
      <c r="G57" s="243">
        <f t="shared" si="1"/>
        <v>0</v>
      </c>
      <c r="H57" s="413">
        <f t="shared" si="2"/>
        <v>0</v>
      </c>
      <c r="I57" s="1599"/>
      <c r="J57" s="1599"/>
      <c r="K57" s="1599"/>
      <c r="L57" s="1599"/>
      <c r="M57" s="1599"/>
      <c r="N57" s="1599"/>
      <c r="O57" s="1599"/>
      <c r="P57" s="1599"/>
      <c r="Q57" s="1599"/>
      <c r="R57" s="1600"/>
      <c r="S57" s="465">
        <f>F57</f>
        <v>2000000</v>
      </c>
      <c r="T57" s="429"/>
      <c r="U57" s="429"/>
      <c r="V57" s="427"/>
      <c r="W57" s="429"/>
      <c r="X57" s="434">
        <f>F57-S57-T57-U57-V57-W57</f>
        <v>0</v>
      </c>
    </row>
    <row r="58" spans="1:26" ht="13.5" hidden="1" customHeight="1" x14ac:dyDescent="0.15">
      <c r="A58" s="464"/>
      <c r="B58" s="212"/>
      <c r="C58" s="196" t="s">
        <v>553</v>
      </c>
      <c r="D58" s="122"/>
      <c r="E58" s="339">
        <v>0</v>
      </c>
      <c r="F58" s="339">
        <v>0</v>
      </c>
      <c r="G58" s="243">
        <f t="shared" si="1"/>
        <v>0</v>
      </c>
      <c r="H58" s="413" t="e">
        <f t="shared" si="2"/>
        <v>#DIV/0!</v>
      </c>
      <c r="I58" s="1601"/>
      <c r="J58" s="1602"/>
      <c r="K58" s="1602"/>
      <c r="L58" s="1602"/>
      <c r="M58" s="1602"/>
      <c r="N58" s="1602"/>
      <c r="O58" s="1602"/>
      <c r="P58" s="1602"/>
      <c r="Q58" s="1602"/>
      <c r="R58" s="1603"/>
      <c r="S58" s="427"/>
      <c r="T58" s="429"/>
      <c r="U58" s="429"/>
      <c r="V58" s="427"/>
      <c r="W58" s="429"/>
      <c r="X58" s="434"/>
    </row>
    <row r="59" spans="1:26" ht="13.5" hidden="1" customHeight="1" x14ac:dyDescent="0.15">
      <c r="A59" s="464"/>
      <c r="B59" s="212"/>
      <c r="C59" s="196" t="s">
        <v>554</v>
      </c>
      <c r="D59" s="122"/>
      <c r="E59" s="339">
        <v>0</v>
      </c>
      <c r="F59" s="339">
        <v>0</v>
      </c>
      <c r="G59" s="243">
        <f t="shared" si="1"/>
        <v>0</v>
      </c>
      <c r="H59" s="413" t="e">
        <f t="shared" si="2"/>
        <v>#DIV/0!</v>
      </c>
      <c r="I59" s="1601"/>
      <c r="J59" s="1602"/>
      <c r="K59" s="1602"/>
      <c r="L59" s="1602"/>
      <c r="M59" s="1602"/>
      <c r="N59" s="1602"/>
      <c r="O59" s="1602"/>
      <c r="P59" s="1602"/>
      <c r="Q59" s="1602"/>
      <c r="R59" s="1603"/>
      <c r="S59" s="427"/>
      <c r="T59" s="429"/>
      <c r="U59" s="429"/>
      <c r="V59" s="427"/>
      <c r="W59" s="429"/>
      <c r="X59" s="434"/>
    </row>
    <row r="60" spans="1:26" ht="13.5" hidden="1" customHeight="1" x14ac:dyDescent="0.15">
      <c r="A60" s="464"/>
      <c r="B60" s="212"/>
      <c r="C60" s="196" t="s">
        <v>555</v>
      </c>
      <c r="D60" s="308"/>
      <c r="E60" s="339">
        <v>0</v>
      </c>
      <c r="F60" s="339">
        <v>0</v>
      </c>
      <c r="G60" s="243">
        <f t="shared" si="1"/>
        <v>0</v>
      </c>
      <c r="H60" s="413" t="e">
        <f t="shared" si="2"/>
        <v>#DIV/0!</v>
      </c>
      <c r="I60" s="1599"/>
      <c r="J60" s="1599"/>
      <c r="K60" s="1599"/>
      <c r="L60" s="1599"/>
      <c r="M60" s="1599"/>
      <c r="N60" s="1599"/>
      <c r="O60" s="1599"/>
      <c r="P60" s="1599"/>
      <c r="Q60" s="1599"/>
      <c r="R60" s="1600"/>
      <c r="S60" s="427"/>
      <c r="T60" s="429"/>
      <c r="U60" s="429"/>
      <c r="V60" s="427"/>
      <c r="W60" s="429"/>
      <c r="X60" s="434"/>
    </row>
    <row r="61" spans="1:26" ht="13.5" hidden="1" customHeight="1" x14ac:dyDescent="0.15">
      <c r="A61" s="464"/>
      <c r="B61" s="214"/>
      <c r="C61" s="196" t="s">
        <v>291</v>
      </c>
      <c r="D61" s="122"/>
      <c r="E61" s="339">
        <v>0</v>
      </c>
      <c r="F61" s="339">
        <v>0</v>
      </c>
      <c r="G61" s="243">
        <f t="shared" si="1"/>
        <v>0</v>
      </c>
      <c r="H61" s="413" t="e">
        <f t="shared" si="2"/>
        <v>#DIV/0!</v>
      </c>
      <c r="I61" s="1596"/>
      <c r="J61" s="1597"/>
      <c r="K61" s="1597"/>
      <c r="L61" s="1597"/>
      <c r="M61" s="1597"/>
      <c r="N61" s="1597"/>
      <c r="O61" s="1597"/>
      <c r="P61" s="1597"/>
      <c r="Q61" s="1597"/>
      <c r="R61" s="1598"/>
      <c r="S61" s="427"/>
      <c r="T61" s="429"/>
      <c r="U61" s="429"/>
      <c r="V61" s="427"/>
      <c r="W61" s="429"/>
      <c r="X61" s="434"/>
    </row>
    <row r="62" spans="1:26" s="22" customFormat="1" ht="13.5" hidden="1" customHeight="1" x14ac:dyDescent="0.15">
      <c r="A62" s="426"/>
      <c r="B62" s="196" t="s">
        <v>556</v>
      </c>
      <c r="C62" s="196" t="s">
        <v>258</v>
      </c>
      <c r="D62" s="196"/>
      <c r="E62" s="339">
        <v>0</v>
      </c>
      <c r="F62" s="339">
        <f>SUM(F63:F72)</f>
        <v>0</v>
      </c>
      <c r="G62" s="243">
        <f t="shared" si="1"/>
        <v>0</v>
      </c>
      <c r="H62" s="413" t="e">
        <f t="shared" si="2"/>
        <v>#DIV/0!</v>
      </c>
      <c r="I62" s="1528"/>
      <c r="J62" s="1529"/>
      <c r="K62" s="1529"/>
      <c r="L62" s="1529"/>
      <c r="M62" s="1529"/>
      <c r="N62" s="1529"/>
      <c r="O62" s="1529"/>
      <c r="P62" s="1529"/>
      <c r="Q62" s="1529"/>
      <c r="R62" s="1530"/>
      <c r="S62" s="427"/>
      <c r="T62" s="429"/>
      <c r="U62" s="429"/>
      <c r="V62" s="427"/>
      <c r="W62" s="429"/>
      <c r="X62" s="434"/>
    </row>
    <row r="63" spans="1:26" s="22" customFormat="1" ht="13.5" hidden="1" customHeight="1" x14ac:dyDescent="0.15">
      <c r="A63" s="426"/>
      <c r="B63" s="212"/>
      <c r="C63" s="196" t="s">
        <v>557</v>
      </c>
      <c r="D63" s="196"/>
      <c r="E63" s="339">
        <v>0</v>
      </c>
      <c r="F63" s="339">
        <v>0</v>
      </c>
      <c r="G63" s="243">
        <f t="shared" si="1"/>
        <v>0</v>
      </c>
      <c r="H63" s="413" t="e">
        <f t="shared" si="2"/>
        <v>#DIV/0!</v>
      </c>
      <c r="I63" s="1528"/>
      <c r="J63" s="1529"/>
      <c r="K63" s="1529"/>
      <c r="L63" s="1529"/>
      <c r="M63" s="1529"/>
      <c r="N63" s="1529"/>
      <c r="O63" s="1529"/>
      <c r="P63" s="1529"/>
      <c r="Q63" s="1529"/>
      <c r="R63" s="1530"/>
      <c r="S63" s="427"/>
      <c r="T63" s="429"/>
      <c r="U63" s="429"/>
      <c r="V63" s="427"/>
      <c r="W63" s="429"/>
      <c r="X63" s="434"/>
    </row>
    <row r="64" spans="1:26" s="22" customFormat="1" ht="13.5" hidden="1" customHeight="1" x14ac:dyDescent="0.15">
      <c r="A64" s="426"/>
      <c r="B64" s="212"/>
      <c r="C64" s="196" t="s">
        <v>558</v>
      </c>
      <c r="D64" s="196"/>
      <c r="E64" s="339">
        <v>0</v>
      </c>
      <c r="F64" s="339">
        <v>0</v>
      </c>
      <c r="G64" s="243">
        <f t="shared" si="1"/>
        <v>0</v>
      </c>
      <c r="H64" s="413" t="e">
        <f t="shared" si="2"/>
        <v>#DIV/0!</v>
      </c>
      <c r="I64" s="1528"/>
      <c r="J64" s="1529"/>
      <c r="K64" s="1529"/>
      <c r="L64" s="1529"/>
      <c r="M64" s="1529"/>
      <c r="N64" s="1529"/>
      <c r="O64" s="1529"/>
      <c r="P64" s="1529"/>
      <c r="Q64" s="1529"/>
      <c r="R64" s="1530"/>
      <c r="S64" s="427"/>
      <c r="T64" s="429"/>
      <c r="U64" s="429"/>
      <c r="V64" s="427"/>
      <c r="W64" s="429"/>
      <c r="X64" s="434"/>
    </row>
    <row r="65" spans="1:26" s="22" customFormat="1" ht="13.5" hidden="1" customHeight="1" x14ac:dyDescent="0.15">
      <c r="A65" s="426"/>
      <c r="B65" s="212"/>
      <c r="C65" s="196" t="s">
        <v>559</v>
      </c>
      <c r="D65" s="196"/>
      <c r="E65" s="339">
        <v>0</v>
      </c>
      <c r="F65" s="339">
        <v>0</v>
      </c>
      <c r="G65" s="243">
        <f t="shared" si="1"/>
        <v>0</v>
      </c>
      <c r="H65" s="413" t="e">
        <f t="shared" si="2"/>
        <v>#DIV/0!</v>
      </c>
      <c r="I65" s="1528"/>
      <c r="J65" s="1529"/>
      <c r="K65" s="1529"/>
      <c r="L65" s="1529"/>
      <c r="M65" s="1529"/>
      <c r="N65" s="1529"/>
      <c r="O65" s="1529"/>
      <c r="P65" s="1529"/>
      <c r="Q65" s="1529"/>
      <c r="R65" s="1530"/>
      <c r="S65" s="427"/>
      <c r="T65" s="429"/>
      <c r="U65" s="429"/>
      <c r="V65" s="427"/>
      <c r="W65" s="429"/>
      <c r="X65" s="434"/>
    </row>
    <row r="66" spans="1:26" s="22" customFormat="1" ht="13.5" hidden="1" customHeight="1" x14ac:dyDescent="0.15">
      <c r="A66" s="426"/>
      <c r="B66" s="212"/>
      <c r="C66" s="196" t="s">
        <v>560</v>
      </c>
      <c r="D66" s="196"/>
      <c r="E66" s="339">
        <v>0</v>
      </c>
      <c r="F66" s="339">
        <v>0</v>
      </c>
      <c r="G66" s="243">
        <f t="shared" si="1"/>
        <v>0</v>
      </c>
      <c r="H66" s="413" t="e">
        <f t="shared" si="2"/>
        <v>#DIV/0!</v>
      </c>
      <c r="I66" s="1528"/>
      <c r="J66" s="1529"/>
      <c r="K66" s="1529"/>
      <c r="L66" s="1529"/>
      <c r="M66" s="1529"/>
      <c r="N66" s="1529"/>
      <c r="O66" s="1529"/>
      <c r="P66" s="1529"/>
      <c r="Q66" s="1529"/>
      <c r="R66" s="1530"/>
      <c r="S66" s="427"/>
      <c r="T66" s="429"/>
      <c r="U66" s="429"/>
      <c r="V66" s="427"/>
      <c r="W66" s="429"/>
      <c r="X66" s="434"/>
    </row>
    <row r="67" spans="1:26" s="22" customFormat="1" ht="13.5" hidden="1" customHeight="1" x14ac:dyDescent="0.15">
      <c r="A67" s="426"/>
      <c r="B67" s="212"/>
      <c r="C67" s="196" t="s">
        <v>561</v>
      </c>
      <c r="D67" s="196"/>
      <c r="E67" s="339">
        <v>0</v>
      </c>
      <c r="F67" s="339">
        <v>0</v>
      </c>
      <c r="G67" s="243">
        <f t="shared" si="1"/>
        <v>0</v>
      </c>
      <c r="H67" s="413" t="e">
        <f t="shared" si="2"/>
        <v>#DIV/0!</v>
      </c>
      <c r="I67" s="1528"/>
      <c r="J67" s="1529"/>
      <c r="K67" s="1529"/>
      <c r="L67" s="1529"/>
      <c r="M67" s="1529"/>
      <c r="N67" s="1529"/>
      <c r="O67" s="1529"/>
      <c r="P67" s="1529"/>
      <c r="Q67" s="1529"/>
      <c r="R67" s="1530"/>
      <c r="S67" s="427"/>
      <c r="T67" s="429"/>
      <c r="U67" s="429"/>
      <c r="V67" s="427"/>
      <c r="W67" s="429"/>
      <c r="X67" s="434"/>
    </row>
    <row r="68" spans="1:26" s="22" customFormat="1" ht="13.5" hidden="1" customHeight="1" x14ac:dyDescent="0.15">
      <c r="A68" s="426"/>
      <c r="B68" s="212"/>
      <c r="C68" s="196" t="s">
        <v>562</v>
      </c>
      <c r="D68" s="196"/>
      <c r="E68" s="339">
        <v>0</v>
      </c>
      <c r="F68" s="339">
        <v>0</v>
      </c>
      <c r="G68" s="243">
        <f t="shared" si="1"/>
        <v>0</v>
      </c>
      <c r="H68" s="413" t="e">
        <f t="shared" si="2"/>
        <v>#DIV/0!</v>
      </c>
      <c r="I68" s="1528"/>
      <c r="J68" s="1529"/>
      <c r="K68" s="1529"/>
      <c r="L68" s="1529"/>
      <c r="M68" s="1529"/>
      <c r="N68" s="1529"/>
      <c r="O68" s="1529"/>
      <c r="P68" s="1529"/>
      <c r="Q68" s="1529"/>
      <c r="R68" s="1530"/>
      <c r="S68" s="427"/>
      <c r="T68" s="429"/>
      <c r="U68" s="429"/>
      <c r="V68" s="427"/>
      <c r="W68" s="429"/>
      <c r="X68" s="434"/>
    </row>
    <row r="69" spans="1:26" s="22" customFormat="1" ht="13.5" hidden="1" customHeight="1" x14ac:dyDescent="0.15">
      <c r="A69" s="426"/>
      <c r="B69" s="212"/>
      <c r="C69" s="196" t="s">
        <v>563</v>
      </c>
      <c r="D69" s="196"/>
      <c r="E69" s="339">
        <v>0</v>
      </c>
      <c r="F69" s="339">
        <v>0</v>
      </c>
      <c r="G69" s="243">
        <f t="shared" si="1"/>
        <v>0</v>
      </c>
      <c r="H69" s="413" t="e">
        <f t="shared" si="2"/>
        <v>#DIV/0!</v>
      </c>
      <c r="I69" s="1528"/>
      <c r="J69" s="1529"/>
      <c r="K69" s="1529"/>
      <c r="L69" s="1529"/>
      <c r="M69" s="1529"/>
      <c r="N69" s="1529"/>
      <c r="O69" s="1529"/>
      <c r="P69" s="1529"/>
      <c r="Q69" s="1529"/>
      <c r="R69" s="1530"/>
      <c r="S69" s="427"/>
      <c r="T69" s="429"/>
      <c r="U69" s="429"/>
      <c r="V69" s="427"/>
      <c r="W69" s="429"/>
      <c r="X69" s="434"/>
    </row>
    <row r="70" spans="1:26" s="22" customFormat="1" ht="13.5" hidden="1" customHeight="1" x14ac:dyDescent="0.15">
      <c r="A70" s="426"/>
      <c r="B70" s="212"/>
      <c r="C70" s="196" t="s">
        <v>564</v>
      </c>
      <c r="D70" s="196"/>
      <c r="E70" s="339">
        <v>0</v>
      </c>
      <c r="F70" s="339">
        <v>0</v>
      </c>
      <c r="G70" s="243">
        <f t="shared" si="1"/>
        <v>0</v>
      </c>
      <c r="H70" s="413" t="e">
        <f t="shared" si="2"/>
        <v>#DIV/0!</v>
      </c>
      <c r="I70" s="1528"/>
      <c r="J70" s="1529"/>
      <c r="K70" s="1529"/>
      <c r="L70" s="1529"/>
      <c r="M70" s="1529"/>
      <c r="N70" s="1529"/>
      <c r="O70" s="1529"/>
      <c r="P70" s="1529"/>
      <c r="Q70" s="1529"/>
      <c r="R70" s="1530"/>
      <c r="S70" s="427"/>
      <c r="T70" s="429"/>
      <c r="U70" s="429"/>
      <c r="V70" s="427"/>
      <c r="W70" s="429"/>
      <c r="X70" s="434"/>
    </row>
    <row r="71" spans="1:26" s="22" customFormat="1" ht="13.5" hidden="1" customHeight="1" x14ac:dyDescent="0.15">
      <c r="A71" s="426"/>
      <c r="B71" s="212"/>
      <c r="C71" s="196" t="s">
        <v>565</v>
      </c>
      <c r="D71" s="196"/>
      <c r="E71" s="339">
        <v>0</v>
      </c>
      <c r="F71" s="339">
        <v>0</v>
      </c>
      <c r="G71" s="243">
        <f t="shared" ref="G71:G92" si="3">F71-E71</f>
        <v>0</v>
      </c>
      <c r="H71" s="413" t="e">
        <f t="shared" si="2"/>
        <v>#DIV/0!</v>
      </c>
      <c r="I71" s="1528"/>
      <c r="J71" s="1529"/>
      <c r="K71" s="1529"/>
      <c r="L71" s="1529"/>
      <c r="M71" s="1529"/>
      <c r="N71" s="1529"/>
      <c r="O71" s="1529"/>
      <c r="P71" s="1529"/>
      <c r="Q71" s="1529"/>
      <c r="R71" s="1530"/>
      <c r="S71" s="427"/>
      <c r="T71" s="429"/>
      <c r="U71" s="429"/>
      <c r="V71" s="427"/>
      <c r="W71" s="429"/>
      <c r="X71" s="434"/>
    </row>
    <row r="72" spans="1:26" s="22" customFormat="1" ht="13.5" hidden="1" customHeight="1" x14ac:dyDescent="0.15">
      <c r="A72" s="426"/>
      <c r="B72" s="212"/>
      <c r="C72" s="196" t="s">
        <v>566</v>
      </c>
      <c r="D72" s="196"/>
      <c r="E72" s="339">
        <v>0</v>
      </c>
      <c r="F72" s="339">
        <v>0</v>
      </c>
      <c r="G72" s="243">
        <f t="shared" si="3"/>
        <v>0</v>
      </c>
      <c r="H72" s="413" t="e">
        <f>G72/E72*100</f>
        <v>#DIV/0!</v>
      </c>
      <c r="I72" s="1528"/>
      <c r="J72" s="1529"/>
      <c r="K72" s="1529"/>
      <c r="L72" s="1529"/>
      <c r="M72" s="1529"/>
      <c r="N72" s="1529"/>
      <c r="O72" s="1529"/>
      <c r="P72" s="1529"/>
      <c r="Q72" s="1529"/>
      <c r="R72" s="1530"/>
      <c r="S72" s="427"/>
      <c r="T72" s="429"/>
      <c r="U72" s="429"/>
      <c r="V72" s="427"/>
      <c r="W72" s="429"/>
      <c r="X72" s="434"/>
    </row>
    <row r="73" spans="1:26" s="22" customFormat="1" ht="24" customHeight="1" x14ac:dyDescent="0.15">
      <c r="A73" s="426"/>
      <c r="B73" s="196" t="s">
        <v>283</v>
      </c>
      <c r="C73" s="196" t="s">
        <v>258</v>
      </c>
      <c r="D73" s="196"/>
      <c r="E73" s="339">
        <v>46000000</v>
      </c>
      <c r="F73" s="339">
        <f>F74+F75+F76+F77+F78+F80</f>
        <v>46000000</v>
      </c>
      <c r="G73" s="243">
        <f t="shared" si="3"/>
        <v>0</v>
      </c>
      <c r="H73" s="413">
        <f>G73/E73*100</f>
        <v>0</v>
      </c>
      <c r="I73" s="1601"/>
      <c r="J73" s="1602"/>
      <c r="K73" s="1602"/>
      <c r="L73" s="1602"/>
      <c r="M73" s="1602"/>
      <c r="N73" s="1602"/>
      <c r="O73" s="1602"/>
      <c r="P73" s="1602"/>
      <c r="Q73" s="1602"/>
      <c r="R73" s="1603"/>
      <c r="S73" s="427"/>
      <c r="T73" s="429"/>
      <c r="U73" s="429"/>
      <c r="V73" s="427"/>
      <c r="W73" s="429"/>
      <c r="X73" s="434"/>
      <c r="Z73" s="349"/>
    </row>
    <row r="74" spans="1:26" s="22" customFormat="1" ht="20.25" customHeight="1" x14ac:dyDescent="0.15">
      <c r="A74" s="426"/>
      <c r="B74" s="210"/>
      <c r="C74" s="196" t="s">
        <v>567</v>
      </c>
      <c r="D74" s="196"/>
      <c r="E74" s="339">
        <v>0</v>
      </c>
      <c r="F74" s="339">
        <v>0</v>
      </c>
      <c r="G74" s="243">
        <f t="shared" si="3"/>
        <v>0</v>
      </c>
      <c r="H74" s="413">
        <v>0</v>
      </c>
      <c r="I74" s="1552"/>
      <c r="J74" s="1553"/>
      <c r="K74" s="1553"/>
      <c r="L74" s="1553"/>
      <c r="M74" s="1553"/>
      <c r="N74" s="1553"/>
      <c r="O74" s="1553"/>
      <c r="P74" s="1553"/>
      <c r="Q74" s="1553"/>
      <c r="R74" s="1554"/>
      <c r="S74" s="427"/>
      <c r="T74" s="429"/>
      <c r="U74" s="429"/>
      <c r="V74" s="427"/>
      <c r="W74" s="429"/>
      <c r="X74" s="434"/>
    </row>
    <row r="75" spans="1:26" s="22" customFormat="1" ht="23.25" customHeight="1" x14ac:dyDescent="0.15">
      <c r="A75" s="426"/>
      <c r="B75" s="212"/>
      <c r="C75" s="196" t="s">
        <v>480</v>
      </c>
      <c r="D75" s="196"/>
      <c r="E75" s="339">
        <v>41000000</v>
      </c>
      <c r="F75" s="339">
        <v>41000000</v>
      </c>
      <c r="G75" s="243">
        <f t="shared" si="3"/>
        <v>0</v>
      </c>
      <c r="H75" s="413">
        <v>0</v>
      </c>
      <c r="I75" s="1604" t="s">
        <v>568</v>
      </c>
      <c r="J75" s="1605"/>
      <c r="K75" s="1605"/>
      <c r="L75" s="1605"/>
      <c r="M75" s="1605"/>
      <c r="N75" s="1605"/>
      <c r="O75" s="1605"/>
      <c r="P75" s="1605"/>
      <c r="Q75" s="1605"/>
      <c r="R75" s="1606"/>
      <c r="S75" s="465">
        <f>F75-W75-U75-T75</f>
        <v>29240000</v>
      </c>
      <c r="T75" s="398">
        <f>'라. 세출내역서'!I777</f>
        <v>8000000</v>
      </c>
      <c r="U75" s="468">
        <v>3000000</v>
      </c>
      <c r="W75" s="408">
        <v>760000</v>
      </c>
      <c r="X75" s="434">
        <f>F75-S75-T75-U75-V75-W75</f>
        <v>0</v>
      </c>
    </row>
    <row r="76" spans="1:26" s="22" customFormat="1" ht="21" customHeight="1" x14ac:dyDescent="0.15">
      <c r="A76" s="426"/>
      <c r="B76" s="212"/>
      <c r="C76" s="196" t="s">
        <v>569</v>
      </c>
      <c r="D76" s="469"/>
      <c r="E76" s="339">
        <v>0</v>
      </c>
      <c r="F76" s="339">
        <v>0</v>
      </c>
      <c r="G76" s="243">
        <f t="shared" si="3"/>
        <v>0</v>
      </c>
      <c r="H76" s="413">
        <v>0</v>
      </c>
      <c r="I76" s="1607" t="s">
        <v>570</v>
      </c>
      <c r="J76" s="1608"/>
      <c r="K76" s="1608"/>
      <c r="L76" s="1608"/>
      <c r="M76" s="1608"/>
      <c r="N76" s="1608"/>
      <c r="O76" s="1608"/>
      <c r="P76" s="1608"/>
      <c r="Q76" s="1608"/>
      <c r="R76" s="1609"/>
      <c r="S76" s="427"/>
      <c r="T76" s="429"/>
      <c r="U76" s="429"/>
      <c r="V76" s="427"/>
      <c r="W76" s="429"/>
      <c r="X76" s="434"/>
    </row>
    <row r="77" spans="1:26" s="22" customFormat="1" ht="23.25" customHeight="1" x14ac:dyDescent="0.15">
      <c r="A77" s="455"/>
      <c r="B77" s="456"/>
      <c r="C77" s="470" t="s">
        <v>571</v>
      </c>
      <c r="D77" s="311"/>
      <c r="E77" s="359">
        <v>5000000</v>
      </c>
      <c r="F77" s="359">
        <v>5000000</v>
      </c>
      <c r="G77" s="244">
        <f t="shared" si="3"/>
        <v>0</v>
      </c>
      <c r="H77" s="471">
        <v>0</v>
      </c>
      <c r="I77" s="1610" t="s">
        <v>572</v>
      </c>
      <c r="J77" s="1611"/>
      <c r="K77" s="1611"/>
      <c r="L77" s="1611"/>
      <c r="M77" s="1611"/>
      <c r="N77" s="1611"/>
      <c r="O77" s="1611"/>
      <c r="P77" s="1611"/>
      <c r="Q77" s="1611"/>
      <c r="R77" s="1612"/>
      <c r="S77" s="465">
        <v>5000000</v>
      </c>
      <c r="T77" s="429"/>
      <c r="U77" s="429"/>
      <c r="V77" s="427"/>
      <c r="W77" s="429"/>
      <c r="X77" s="434">
        <f>F77-S77-T77-U77-V77-W77</f>
        <v>0</v>
      </c>
    </row>
    <row r="78" spans="1:26" s="22" customFormat="1" ht="19.5" hidden="1" customHeight="1" x14ac:dyDescent="0.15">
      <c r="A78" s="455"/>
      <c r="B78" s="456"/>
      <c r="C78" s="456" t="s">
        <v>394</v>
      </c>
      <c r="D78" s="472"/>
      <c r="E78" s="473">
        <v>0</v>
      </c>
      <c r="F78" s="473">
        <v>0</v>
      </c>
      <c r="G78" s="474">
        <f t="shared" si="3"/>
        <v>0</v>
      </c>
      <c r="H78" s="475">
        <f>F78/F6*100</f>
        <v>0</v>
      </c>
      <c r="I78" s="1613"/>
      <c r="J78" s="1614"/>
      <c r="K78" s="1614"/>
      <c r="L78" s="1614"/>
      <c r="M78" s="1614"/>
      <c r="N78" s="1614"/>
      <c r="O78" s="1614"/>
      <c r="P78" s="1614"/>
      <c r="Q78" s="1614"/>
      <c r="R78" s="1615"/>
      <c r="S78" s="427"/>
      <c r="T78" s="429"/>
      <c r="U78" s="429"/>
      <c r="V78" s="429"/>
      <c r="W78" s="429"/>
      <c r="X78" s="376"/>
    </row>
    <row r="79" spans="1:26" s="22" customFormat="1" ht="19.5" hidden="1" customHeight="1" x14ac:dyDescent="0.15">
      <c r="A79" s="455"/>
      <c r="B79" s="456"/>
      <c r="C79" s="476"/>
      <c r="D79" s="477"/>
      <c r="E79" s="473"/>
      <c r="F79" s="473"/>
      <c r="G79" s="474">
        <f t="shared" si="3"/>
        <v>0</v>
      </c>
      <c r="H79" s="475">
        <v>0</v>
      </c>
      <c r="I79" s="478"/>
      <c r="J79" s="478"/>
      <c r="K79" s="478"/>
      <c r="L79" s="478"/>
      <c r="M79" s="478"/>
      <c r="N79" s="478"/>
      <c r="O79" s="478"/>
      <c r="P79" s="478"/>
      <c r="Q79" s="478"/>
      <c r="R79" s="479"/>
      <c r="S79" s="427"/>
      <c r="T79" s="429"/>
      <c r="U79" s="429"/>
      <c r="V79" s="429"/>
      <c r="W79" s="429"/>
      <c r="X79" s="376"/>
    </row>
    <row r="80" spans="1:26" s="22" customFormat="1" ht="16.5" hidden="1" customHeight="1" x14ac:dyDescent="0.15">
      <c r="A80" s="426"/>
      <c r="B80" s="212"/>
      <c r="C80" s="480" t="s">
        <v>573</v>
      </c>
      <c r="D80" s="481" t="s">
        <v>258</v>
      </c>
      <c r="E80" s="482">
        <v>0</v>
      </c>
      <c r="F80" s="482">
        <f>F81</f>
        <v>0</v>
      </c>
      <c r="G80" s="483">
        <f t="shared" si="3"/>
        <v>0</v>
      </c>
      <c r="H80" s="462">
        <v>0</v>
      </c>
      <c r="I80" s="1616"/>
      <c r="J80" s="1617"/>
      <c r="K80" s="1617"/>
      <c r="L80" s="1617"/>
      <c r="M80" s="1617"/>
      <c r="N80" s="1617"/>
      <c r="O80" s="1617"/>
      <c r="P80" s="1617"/>
      <c r="Q80" s="1617"/>
      <c r="R80" s="1618"/>
      <c r="S80" s="427"/>
      <c r="T80" s="429"/>
      <c r="U80" s="429"/>
      <c r="V80" s="429"/>
      <c r="W80" s="429"/>
      <c r="X80" s="376"/>
    </row>
    <row r="81" spans="1:24" s="22" customFormat="1" ht="16.5" hidden="1" customHeight="1" x14ac:dyDescent="0.15">
      <c r="A81" s="426"/>
      <c r="B81" s="212"/>
      <c r="C81" s="230"/>
      <c r="D81" s="484" t="s">
        <v>573</v>
      </c>
      <c r="E81" s="485"/>
      <c r="F81" s="485"/>
      <c r="G81" s="247">
        <f t="shared" si="3"/>
        <v>0</v>
      </c>
      <c r="H81" s="413">
        <v>0</v>
      </c>
      <c r="I81" s="1528"/>
      <c r="J81" s="1529"/>
      <c r="K81" s="1529"/>
      <c r="L81" s="1529"/>
      <c r="M81" s="1529"/>
      <c r="N81" s="1529"/>
      <c r="O81" s="1529"/>
      <c r="P81" s="1529"/>
      <c r="Q81" s="1529"/>
      <c r="R81" s="1530"/>
      <c r="S81" s="427"/>
      <c r="T81" s="429"/>
      <c r="U81" s="429"/>
      <c r="V81" s="429"/>
      <c r="W81" s="429"/>
      <c r="X81" s="376"/>
    </row>
    <row r="82" spans="1:24" s="22" customFormat="1" ht="16.5" hidden="1" customHeight="1" x14ac:dyDescent="0.15">
      <c r="A82" s="426"/>
      <c r="B82" s="212"/>
      <c r="C82" s="230" t="s">
        <v>574</v>
      </c>
      <c r="D82" s="486" t="s">
        <v>258</v>
      </c>
      <c r="E82" s="485">
        <v>0</v>
      </c>
      <c r="F82" s="485">
        <f>F83</f>
        <v>0</v>
      </c>
      <c r="G82" s="247">
        <f t="shared" si="3"/>
        <v>0</v>
      </c>
      <c r="H82" s="413">
        <v>0</v>
      </c>
      <c r="I82" s="1552"/>
      <c r="J82" s="1553"/>
      <c r="K82" s="1553"/>
      <c r="L82" s="1553"/>
      <c r="M82" s="1553"/>
      <c r="N82" s="1553"/>
      <c r="O82" s="1553"/>
      <c r="P82" s="1553"/>
      <c r="Q82" s="1553"/>
      <c r="R82" s="1554"/>
      <c r="S82" s="427"/>
      <c r="T82" s="429"/>
      <c r="U82" s="429"/>
      <c r="V82" s="429"/>
      <c r="W82" s="429"/>
      <c r="X82" s="376"/>
    </row>
    <row r="83" spans="1:24" s="22" customFormat="1" ht="16.5" hidden="1" customHeight="1" x14ac:dyDescent="0.15">
      <c r="A83" s="426"/>
      <c r="B83" s="459"/>
      <c r="C83" s="230"/>
      <c r="D83" s="484" t="s">
        <v>574</v>
      </c>
      <c r="E83" s="485">
        <v>0</v>
      </c>
      <c r="F83" s="485">
        <v>0</v>
      </c>
      <c r="G83" s="247">
        <f t="shared" si="3"/>
        <v>0</v>
      </c>
      <c r="H83" s="413">
        <v>0</v>
      </c>
      <c r="I83" s="1552"/>
      <c r="J83" s="1553"/>
      <c r="K83" s="1553"/>
      <c r="L83" s="1553"/>
      <c r="M83" s="1553"/>
      <c r="N83" s="1553"/>
      <c r="O83" s="1553"/>
      <c r="P83" s="1553"/>
      <c r="Q83" s="1553"/>
      <c r="R83" s="1554"/>
      <c r="S83" s="427"/>
      <c r="T83" s="429"/>
      <c r="U83" s="429"/>
      <c r="V83" s="429"/>
      <c r="W83" s="429"/>
      <c r="X83" s="376"/>
    </row>
    <row r="84" spans="1:24" s="22" customFormat="1" ht="16.5" hidden="1" customHeight="1" x14ac:dyDescent="0.15">
      <c r="A84" s="452" t="s">
        <v>303</v>
      </c>
      <c r="B84" s="1594" t="s">
        <v>91</v>
      </c>
      <c r="C84" s="1595"/>
      <c r="D84" s="486"/>
      <c r="E84" s="485">
        <v>0</v>
      </c>
      <c r="F84" s="485">
        <f>F85</f>
        <v>0</v>
      </c>
      <c r="G84" s="247">
        <f t="shared" si="3"/>
        <v>0</v>
      </c>
      <c r="H84" s="413">
        <v>0</v>
      </c>
      <c r="I84" s="1596"/>
      <c r="J84" s="1597"/>
      <c r="K84" s="1597"/>
      <c r="L84" s="1597"/>
      <c r="M84" s="1597"/>
      <c r="N84" s="1597"/>
      <c r="O84" s="1597"/>
      <c r="P84" s="1597"/>
      <c r="Q84" s="1597"/>
      <c r="R84" s="1598"/>
      <c r="S84" s="427"/>
      <c r="T84" s="429"/>
      <c r="U84" s="429"/>
      <c r="V84" s="429"/>
      <c r="W84" s="429"/>
      <c r="X84" s="376"/>
    </row>
    <row r="85" spans="1:24" s="22" customFormat="1" ht="16.5" hidden="1" customHeight="1" x14ac:dyDescent="0.15">
      <c r="A85" s="419"/>
      <c r="B85" s="196" t="s">
        <v>303</v>
      </c>
      <c r="C85" s="230" t="s">
        <v>258</v>
      </c>
      <c r="D85" s="486"/>
      <c r="E85" s="485">
        <v>0</v>
      </c>
      <c r="F85" s="485">
        <f>F86</f>
        <v>0</v>
      </c>
      <c r="G85" s="247">
        <f t="shared" si="3"/>
        <v>0</v>
      </c>
      <c r="H85" s="413">
        <v>0</v>
      </c>
      <c r="I85" s="1596"/>
      <c r="J85" s="1597"/>
      <c r="K85" s="1597"/>
      <c r="L85" s="1597"/>
      <c r="M85" s="1597"/>
      <c r="N85" s="1597"/>
      <c r="O85" s="1597"/>
      <c r="P85" s="1597"/>
      <c r="Q85" s="1597"/>
      <c r="R85" s="1598"/>
      <c r="S85" s="427"/>
      <c r="T85" s="429"/>
      <c r="U85" s="429"/>
      <c r="V85" s="429"/>
      <c r="W85" s="429"/>
      <c r="X85" s="376"/>
    </row>
    <row r="86" spans="1:24" s="22" customFormat="1" ht="16.5" hidden="1" customHeight="1" x14ac:dyDescent="0.15">
      <c r="A86" s="451"/>
      <c r="B86" s="196"/>
      <c r="C86" s="230" t="s">
        <v>303</v>
      </c>
      <c r="D86" s="486"/>
      <c r="E86" s="485">
        <v>0</v>
      </c>
      <c r="F86" s="485">
        <v>0</v>
      </c>
      <c r="G86" s="247">
        <f t="shared" si="3"/>
        <v>0</v>
      </c>
      <c r="H86" s="413">
        <v>0</v>
      </c>
      <c r="I86" s="1596"/>
      <c r="J86" s="1597"/>
      <c r="K86" s="1597"/>
      <c r="L86" s="1597"/>
      <c r="M86" s="1597"/>
      <c r="N86" s="1597"/>
      <c r="O86" s="1597"/>
      <c r="P86" s="1597"/>
      <c r="Q86" s="1597"/>
      <c r="R86" s="1598"/>
      <c r="S86" s="427"/>
      <c r="T86" s="429"/>
      <c r="U86" s="429"/>
      <c r="V86" s="429"/>
      <c r="W86" s="429"/>
      <c r="X86" s="376"/>
    </row>
    <row r="87" spans="1:24" ht="16.5" hidden="1" customHeight="1" x14ac:dyDescent="0.15">
      <c r="A87" s="411" t="s">
        <v>306</v>
      </c>
      <c r="B87" s="1594" t="s">
        <v>255</v>
      </c>
      <c r="C87" s="1595"/>
      <c r="D87" s="486"/>
      <c r="E87" s="485">
        <v>0</v>
      </c>
      <c r="F87" s="485">
        <f>F88</f>
        <v>0</v>
      </c>
      <c r="G87" s="247">
        <f t="shared" si="3"/>
        <v>0</v>
      </c>
      <c r="H87" s="413">
        <f>F87/F6*100</f>
        <v>0</v>
      </c>
      <c r="I87" s="1599"/>
      <c r="J87" s="1599"/>
      <c r="K87" s="1599"/>
      <c r="L87" s="1599"/>
      <c r="M87" s="1599"/>
      <c r="N87" s="1599"/>
      <c r="O87" s="1599"/>
      <c r="P87" s="1599"/>
      <c r="Q87" s="1599"/>
      <c r="R87" s="1600"/>
      <c r="S87" s="427"/>
      <c r="T87" s="429"/>
      <c r="U87" s="429"/>
      <c r="V87" s="429"/>
      <c r="W87" s="429"/>
      <c r="X87" s="430"/>
    </row>
    <row r="88" spans="1:24" ht="16.5" hidden="1" customHeight="1" x14ac:dyDescent="0.15">
      <c r="A88" s="419"/>
      <c r="B88" s="196" t="s">
        <v>306</v>
      </c>
      <c r="C88" s="230" t="s">
        <v>258</v>
      </c>
      <c r="D88" s="157"/>
      <c r="E88" s="487">
        <v>0</v>
      </c>
      <c r="F88" s="487">
        <f>F89</f>
        <v>0</v>
      </c>
      <c r="G88" s="247">
        <f t="shared" si="3"/>
        <v>0</v>
      </c>
      <c r="H88" s="413">
        <f>F88/F6*100</f>
        <v>0</v>
      </c>
      <c r="I88" s="1599"/>
      <c r="J88" s="1599"/>
      <c r="K88" s="1599"/>
      <c r="L88" s="1599"/>
      <c r="M88" s="1599"/>
      <c r="N88" s="1599"/>
      <c r="O88" s="1599"/>
      <c r="P88" s="1599"/>
      <c r="Q88" s="1599"/>
      <c r="R88" s="1600"/>
      <c r="S88" s="427"/>
      <c r="T88" s="429"/>
      <c r="U88" s="429"/>
      <c r="V88" s="429"/>
      <c r="W88" s="429"/>
      <c r="X88" s="430"/>
    </row>
    <row r="89" spans="1:24" ht="16.5" hidden="1" customHeight="1" x14ac:dyDescent="0.15">
      <c r="A89" s="451"/>
      <c r="B89" s="210"/>
      <c r="C89" s="230" t="s">
        <v>306</v>
      </c>
      <c r="D89" s="157"/>
      <c r="E89" s="487">
        <v>0</v>
      </c>
      <c r="F89" s="487">
        <v>0</v>
      </c>
      <c r="G89" s="247">
        <f t="shared" si="3"/>
        <v>0</v>
      </c>
      <c r="H89" s="413">
        <f>F89/F6*100</f>
        <v>0</v>
      </c>
      <c r="I89" s="1599"/>
      <c r="J89" s="1599"/>
      <c r="K89" s="1599"/>
      <c r="L89" s="1599"/>
      <c r="M89" s="1599"/>
      <c r="N89" s="1599"/>
      <c r="O89" s="1599"/>
      <c r="P89" s="1599"/>
      <c r="Q89" s="1599"/>
      <c r="R89" s="1600"/>
      <c r="S89" s="427"/>
      <c r="T89" s="429"/>
      <c r="U89" s="429"/>
      <c r="V89" s="429"/>
      <c r="W89" s="429"/>
      <c r="X89" s="430"/>
    </row>
    <row r="90" spans="1:24" ht="16.5" hidden="1" customHeight="1" x14ac:dyDescent="0.15">
      <c r="A90" s="411" t="s">
        <v>575</v>
      </c>
      <c r="B90" s="1594" t="s">
        <v>255</v>
      </c>
      <c r="C90" s="1595"/>
      <c r="D90" s="486"/>
      <c r="E90" s="485">
        <v>0</v>
      </c>
      <c r="F90" s="485">
        <f>F91</f>
        <v>0</v>
      </c>
      <c r="G90" s="247">
        <f t="shared" si="3"/>
        <v>0</v>
      </c>
      <c r="H90" s="413">
        <f>F90/F6*100</f>
        <v>0</v>
      </c>
      <c r="I90" s="1596"/>
      <c r="J90" s="1597"/>
      <c r="K90" s="1597"/>
      <c r="L90" s="1597"/>
      <c r="M90" s="1597"/>
      <c r="N90" s="1597"/>
      <c r="O90" s="1597"/>
      <c r="P90" s="1597"/>
      <c r="Q90" s="1597"/>
      <c r="R90" s="1598"/>
      <c r="S90" s="427"/>
      <c r="T90" s="429"/>
      <c r="U90" s="429"/>
      <c r="V90" s="429"/>
      <c r="W90" s="429"/>
      <c r="X90" s="430"/>
    </row>
    <row r="91" spans="1:24" ht="16.5" hidden="1" customHeight="1" x14ac:dyDescent="0.15">
      <c r="A91" s="419"/>
      <c r="B91" s="196" t="s">
        <v>575</v>
      </c>
      <c r="C91" s="230" t="s">
        <v>258</v>
      </c>
      <c r="D91" s="486"/>
      <c r="E91" s="485">
        <v>0</v>
      </c>
      <c r="F91" s="485">
        <f>F92</f>
        <v>0</v>
      </c>
      <c r="G91" s="247">
        <f t="shared" si="3"/>
        <v>0</v>
      </c>
      <c r="H91" s="413">
        <f>F91/F6*100</f>
        <v>0</v>
      </c>
      <c r="I91" s="1596"/>
      <c r="J91" s="1597"/>
      <c r="K91" s="1597"/>
      <c r="L91" s="1597"/>
      <c r="M91" s="1597"/>
      <c r="N91" s="1597"/>
      <c r="O91" s="1597"/>
      <c r="P91" s="1597"/>
      <c r="Q91" s="1597"/>
      <c r="R91" s="1598"/>
      <c r="S91" s="427"/>
      <c r="T91" s="429"/>
      <c r="U91" s="429"/>
      <c r="V91" s="429"/>
      <c r="W91" s="429"/>
      <c r="X91" s="430"/>
    </row>
    <row r="92" spans="1:24" ht="16.5" hidden="1" customHeight="1" x14ac:dyDescent="0.15">
      <c r="A92" s="455"/>
      <c r="B92" s="311"/>
      <c r="C92" s="470" t="s">
        <v>575</v>
      </c>
      <c r="D92" s="488"/>
      <c r="E92" s="489"/>
      <c r="F92" s="489"/>
      <c r="G92" s="490">
        <f t="shared" si="3"/>
        <v>0</v>
      </c>
      <c r="H92" s="471">
        <f>F92/F6*100</f>
        <v>0</v>
      </c>
      <c r="I92" s="1591"/>
      <c r="J92" s="1592"/>
      <c r="K92" s="1592"/>
      <c r="L92" s="1592"/>
      <c r="M92" s="1592"/>
      <c r="N92" s="1592"/>
      <c r="O92" s="1592"/>
      <c r="P92" s="1592"/>
      <c r="Q92" s="1592"/>
      <c r="R92" s="1593"/>
      <c r="S92" s="427"/>
      <c r="T92" s="429"/>
      <c r="U92" s="429"/>
      <c r="V92" s="429"/>
      <c r="W92" s="429"/>
      <c r="X92" s="430"/>
    </row>
    <row r="93" spans="1:24" x14ac:dyDescent="0.15">
      <c r="B93" s="53"/>
      <c r="C93" s="53"/>
      <c r="E93" s="171"/>
      <c r="S93" s="441"/>
      <c r="T93" s="432"/>
      <c r="U93" s="432"/>
      <c r="V93" s="432"/>
      <c r="W93" s="491"/>
    </row>
    <row r="94" spans="1:24" x14ac:dyDescent="0.15">
      <c r="B94" s="53"/>
      <c r="C94" s="53"/>
      <c r="S94" s="441"/>
      <c r="T94" s="432"/>
      <c r="U94" s="432"/>
      <c r="V94" s="432"/>
      <c r="W94" s="491"/>
    </row>
    <row r="95" spans="1:24" x14ac:dyDescent="0.15">
      <c r="B95" s="53"/>
      <c r="C95" s="53"/>
      <c r="V95" s="432"/>
      <c r="W95" s="491"/>
    </row>
    <row r="96" spans="1:24" x14ac:dyDescent="0.15">
      <c r="B96" s="53"/>
      <c r="C96" s="53"/>
      <c r="V96" s="432"/>
      <c r="W96" s="491"/>
    </row>
    <row r="97" spans="2:23" x14ac:dyDescent="0.15">
      <c r="B97" s="53"/>
      <c r="C97" s="53"/>
      <c r="V97" s="432"/>
      <c r="W97" s="491"/>
    </row>
    <row r="98" spans="2:23" x14ac:dyDescent="0.15">
      <c r="B98" s="53"/>
      <c r="C98" s="53"/>
      <c r="V98" s="432"/>
      <c r="W98" s="491"/>
    </row>
    <row r="99" spans="2:23" x14ac:dyDescent="0.15">
      <c r="B99" s="53"/>
      <c r="C99" s="53"/>
    </row>
    <row r="100" spans="2:23" x14ac:dyDescent="0.15">
      <c r="B100" s="53"/>
      <c r="C100" s="53"/>
    </row>
    <row r="101" spans="2:23" x14ac:dyDescent="0.15">
      <c r="B101" s="53"/>
      <c r="C101" s="53"/>
    </row>
    <row r="102" spans="2:23" x14ac:dyDescent="0.15">
      <c r="B102" s="53"/>
      <c r="C102" s="53"/>
    </row>
    <row r="103" spans="2:23" x14ac:dyDescent="0.15">
      <c r="B103" s="53"/>
      <c r="C103" s="53"/>
    </row>
    <row r="104" spans="2:23" x14ac:dyDescent="0.15">
      <c r="B104" s="53"/>
      <c r="C104" s="53"/>
    </row>
    <row r="105" spans="2:23" x14ac:dyDescent="0.15">
      <c r="B105" s="53"/>
      <c r="C105" s="53"/>
    </row>
    <row r="106" spans="2:23" x14ac:dyDescent="0.15">
      <c r="B106" s="53"/>
      <c r="C106" s="53"/>
    </row>
    <row r="107" spans="2:23" x14ac:dyDescent="0.15">
      <c r="B107" s="53"/>
      <c r="C107" s="53"/>
    </row>
    <row r="108" spans="2:23" x14ac:dyDescent="0.15">
      <c r="B108" s="53"/>
      <c r="C108" s="53"/>
    </row>
    <row r="109" spans="2:23" x14ac:dyDescent="0.15">
      <c r="B109" s="53"/>
      <c r="C109" s="53"/>
    </row>
    <row r="110" spans="2:23" x14ac:dyDescent="0.15">
      <c r="B110" s="53"/>
      <c r="C110" s="53"/>
    </row>
    <row r="111" spans="2:23" x14ac:dyDescent="0.15">
      <c r="B111" s="53"/>
      <c r="C111" s="53"/>
    </row>
    <row r="112" spans="2:23" x14ac:dyDescent="0.15">
      <c r="B112" s="53"/>
      <c r="C112" s="53"/>
    </row>
    <row r="113" spans="2:3" x14ac:dyDescent="0.15">
      <c r="B113" s="53"/>
      <c r="C113" s="53"/>
    </row>
    <row r="114" spans="2:3" x14ac:dyDescent="0.15">
      <c r="B114" s="53"/>
      <c r="C114" s="53"/>
    </row>
    <row r="115" spans="2:3" x14ac:dyDescent="0.15">
      <c r="B115" s="53"/>
      <c r="C115" s="53"/>
    </row>
    <row r="116" spans="2:3" x14ac:dyDescent="0.15">
      <c r="B116" s="53"/>
      <c r="C116" s="53"/>
    </row>
    <row r="117" spans="2:3" x14ac:dyDescent="0.15">
      <c r="B117" s="53"/>
      <c r="C117" s="53"/>
    </row>
    <row r="118" spans="2:3" x14ac:dyDescent="0.15">
      <c r="B118" s="53"/>
      <c r="C118" s="53"/>
    </row>
    <row r="119" spans="2:3" x14ac:dyDescent="0.15">
      <c r="B119" s="53"/>
      <c r="C119" s="53"/>
    </row>
    <row r="120" spans="2:3" x14ac:dyDescent="0.15">
      <c r="B120" s="53"/>
      <c r="C120" s="53"/>
    </row>
    <row r="121" spans="2:3" x14ac:dyDescent="0.15">
      <c r="B121" s="53"/>
      <c r="C121" s="53"/>
    </row>
    <row r="122" spans="2:3" x14ac:dyDescent="0.15">
      <c r="B122" s="53"/>
      <c r="C122" s="53"/>
    </row>
    <row r="123" spans="2:3" x14ac:dyDescent="0.15">
      <c r="B123" s="53"/>
      <c r="C123" s="53"/>
    </row>
  </sheetData>
  <mergeCells count="99">
    <mergeCell ref="I10:R10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  <mergeCell ref="I22:R22"/>
    <mergeCell ref="I11:R11"/>
    <mergeCell ref="I12:R12"/>
    <mergeCell ref="I13:R13"/>
    <mergeCell ref="I14:R14"/>
    <mergeCell ref="I15:R15"/>
    <mergeCell ref="I16:R16"/>
    <mergeCell ref="I17:R17"/>
    <mergeCell ref="I18:R18"/>
    <mergeCell ref="I19:R19"/>
    <mergeCell ref="I20:R20"/>
    <mergeCell ref="I21:R21"/>
    <mergeCell ref="I34:R34"/>
    <mergeCell ref="I23:R23"/>
    <mergeCell ref="I24:R24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46:R46"/>
    <mergeCell ref="I35:R35"/>
    <mergeCell ref="I36:R36"/>
    <mergeCell ref="I37:R37"/>
    <mergeCell ref="I38:R38"/>
    <mergeCell ref="I39:R39"/>
    <mergeCell ref="I40:R40"/>
    <mergeCell ref="I41:R41"/>
    <mergeCell ref="I42:R42"/>
    <mergeCell ref="I43:R43"/>
    <mergeCell ref="I44:R44"/>
    <mergeCell ref="I45:R45"/>
    <mergeCell ref="I58:R58"/>
    <mergeCell ref="I47:R47"/>
    <mergeCell ref="I48:R48"/>
    <mergeCell ref="I49:R49"/>
    <mergeCell ref="I50:R50"/>
    <mergeCell ref="I51:R51"/>
    <mergeCell ref="I52:R52"/>
    <mergeCell ref="I53:R53"/>
    <mergeCell ref="I54:R54"/>
    <mergeCell ref="I55:R55"/>
    <mergeCell ref="I56:R56"/>
    <mergeCell ref="I57:R57"/>
    <mergeCell ref="I70:R70"/>
    <mergeCell ref="I59:R59"/>
    <mergeCell ref="I60:R60"/>
    <mergeCell ref="I61:R61"/>
    <mergeCell ref="I62:R62"/>
    <mergeCell ref="I63:R63"/>
    <mergeCell ref="I64:R64"/>
    <mergeCell ref="I65:R65"/>
    <mergeCell ref="I66:R66"/>
    <mergeCell ref="I67:R67"/>
    <mergeCell ref="I68:R68"/>
    <mergeCell ref="I69:R69"/>
    <mergeCell ref="I83:R83"/>
    <mergeCell ref="I71:R71"/>
    <mergeCell ref="I72:R72"/>
    <mergeCell ref="I73:R73"/>
    <mergeCell ref="I74:R74"/>
    <mergeCell ref="I75:R75"/>
    <mergeCell ref="I76:R76"/>
    <mergeCell ref="I77:R77"/>
    <mergeCell ref="I78:R78"/>
    <mergeCell ref="I80:R80"/>
    <mergeCell ref="I81:R81"/>
    <mergeCell ref="I82:R82"/>
    <mergeCell ref="I92:R92"/>
    <mergeCell ref="B84:C84"/>
    <mergeCell ref="I84:R84"/>
    <mergeCell ref="I85:R85"/>
    <mergeCell ref="I86:R86"/>
    <mergeCell ref="B87:C87"/>
    <mergeCell ref="I87:R87"/>
    <mergeCell ref="I88:R88"/>
    <mergeCell ref="I89:R89"/>
    <mergeCell ref="B90:C90"/>
    <mergeCell ref="I90:R90"/>
    <mergeCell ref="I91:R91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8"/>
  <sheetViews>
    <sheetView workbookViewId="0">
      <selection activeCell="D9" sqref="D9"/>
    </sheetView>
  </sheetViews>
  <sheetFormatPr defaultRowHeight="13.5" x14ac:dyDescent="0.15"/>
  <cols>
    <col min="1" max="1" width="7.375" style="22" customWidth="1"/>
    <col min="2" max="2" width="8.375" style="22" customWidth="1"/>
    <col min="3" max="3" width="10.375" style="22" customWidth="1"/>
    <col min="4" max="4" width="9.5" style="22" customWidth="1"/>
    <col min="5" max="5" width="12.875" style="22" customWidth="1"/>
    <col min="6" max="6" width="12.75" style="94" customWidth="1"/>
    <col min="7" max="7" width="13.125" style="377" customWidth="1"/>
    <col min="8" max="8" width="7.5" style="535" customWidth="1"/>
    <col min="9" max="9" width="4.125" style="22" customWidth="1"/>
    <col min="10" max="10" width="4.5" style="22" customWidth="1"/>
    <col min="11" max="11" width="3.625" style="22" customWidth="1"/>
    <col min="12" max="12" width="4.5" style="22" customWidth="1"/>
    <col min="13" max="13" width="1.875" style="22" customWidth="1"/>
    <col min="14" max="14" width="6.125" style="22" bestFit="1" customWidth="1"/>
    <col min="15" max="15" width="2.25" style="22" customWidth="1"/>
    <col min="16" max="17" width="1.625" style="22" customWidth="1"/>
    <col min="18" max="18" width="1.75" style="22" customWidth="1"/>
    <col min="19" max="19" width="10" style="93" customWidth="1"/>
    <col min="20" max="21" width="13.125" style="536" customWidth="1"/>
    <col min="22" max="22" width="16.25" style="93" customWidth="1"/>
    <col min="23" max="23" width="10" style="93" customWidth="1"/>
    <col min="24" max="24" width="14.875" style="93" customWidth="1"/>
    <col min="25" max="25" width="13" style="93" bestFit="1" customWidth="1"/>
    <col min="26" max="26" width="14.625" style="93" customWidth="1"/>
    <col min="27" max="16384" width="9" style="93"/>
  </cols>
  <sheetData>
    <row r="1" spans="1:26" s="25" customFormat="1" ht="37.5" customHeight="1" x14ac:dyDescent="0.15">
      <c r="A1" s="288" t="s">
        <v>433</v>
      </c>
      <c r="B1" s="288"/>
      <c r="C1" s="288"/>
      <c r="D1" s="23"/>
      <c r="E1" s="23"/>
      <c r="F1" s="21"/>
      <c r="G1" s="392"/>
      <c r="H1" s="493"/>
      <c r="I1" s="1648"/>
      <c r="J1" s="1648"/>
      <c r="K1" s="1648"/>
      <c r="L1" s="1648"/>
      <c r="M1" s="1648"/>
      <c r="N1" s="1648"/>
      <c r="O1" s="1648"/>
      <c r="P1" s="1648"/>
      <c r="Q1" s="1648"/>
      <c r="R1" s="1648"/>
      <c r="T1" s="494"/>
      <c r="U1" s="494"/>
    </row>
    <row r="2" spans="1:26" s="25" customFormat="1" ht="23.25" customHeight="1" x14ac:dyDescent="0.15">
      <c r="A2" s="1649" t="s">
        <v>576</v>
      </c>
      <c r="B2" s="1649"/>
      <c r="C2" s="1650"/>
      <c r="D2" s="93"/>
      <c r="E2" s="23"/>
      <c r="F2" s="21"/>
      <c r="G2" s="392"/>
      <c r="H2" s="493"/>
      <c r="I2" s="1648"/>
      <c r="J2" s="1648"/>
      <c r="K2" s="1648"/>
      <c r="L2" s="1648"/>
      <c r="M2" s="1648"/>
      <c r="N2" s="1648"/>
      <c r="O2" s="1648"/>
      <c r="P2" s="1648"/>
      <c r="Q2" s="1648"/>
      <c r="R2" s="1648"/>
      <c r="S2" s="395"/>
      <c r="T2" s="495"/>
      <c r="U2" s="495"/>
      <c r="V2" s="395"/>
      <c r="W2" s="395"/>
    </row>
    <row r="3" spans="1:26" s="276" customFormat="1" ht="18" customHeight="1" x14ac:dyDescent="0.15">
      <c r="A3" s="23"/>
      <c r="B3" s="23"/>
      <c r="C3" s="23"/>
      <c r="D3" s="23"/>
      <c r="E3" s="23"/>
      <c r="F3" s="21"/>
      <c r="G3" s="392"/>
      <c r="H3" s="493"/>
      <c r="I3" s="1651" t="s">
        <v>244</v>
      </c>
      <c r="J3" s="1651"/>
      <c r="K3" s="1651"/>
      <c r="L3" s="1651"/>
      <c r="M3" s="1651"/>
      <c r="N3" s="1651"/>
      <c r="O3" s="1651"/>
      <c r="P3" s="1651"/>
      <c r="Q3" s="1651"/>
      <c r="R3" s="1651"/>
      <c r="S3" s="496"/>
      <c r="T3" s="497">
        <f>T6/V6</f>
        <v>0.72278351474046931</v>
      </c>
      <c r="U3" s="497">
        <f>U6/V6</f>
        <v>0.27721648525953069</v>
      </c>
      <c r="V3" s="498">
        <f>SUM(T3:U3)</f>
        <v>1</v>
      </c>
      <c r="W3" s="496"/>
    </row>
    <row r="4" spans="1:26" s="248" customFormat="1" ht="24.75" customHeight="1" x14ac:dyDescent="0.15">
      <c r="A4" s="1562" t="s">
        <v>247</v>
      </c>
      <c r="B4" s="1563"/>
      <c r="C4" s="1563"/>
      <c r="D4" s="1564"/>
      <c r="E4" s="1565" t="str">
        <f>'[1]라-2.자부담세출'!E4:E5</f>
        <v>당초예산
( A )</v>
      </c>
      <c r="F4" s="1567" t="str">
        <f>'[1]라-2.자부담세출'!F4:F5</f>
        <v>1차추경
( B )</v>
      </c>
      <c r="G4" s="1652" t="s">
        <v>406</v>
      </c>
      <c r="H4" s="1652"/>
      <c r="I4" s="1653" t="s">
        <v>435</v>
      </c>
      <c r="J4" s="1653"/>
      <c r="K4" s="1653"/>
      <c r="L4" s="1653"/>
      <c r="M4" s="1653"/>
      <c r="N4" s="1653"/>
      <c r="O4" s="1653"/>
      <c r="P4" s="1653"/>
      <c r="Q4" s="1653"/>
      <c r="R4" s="1654"/>
      <c r="S4" s="499"/>
      <c r="T4" s="500" t="s">
        <v>577</v>
      </c>
      <c r="U4" s="500" t="s">
        <v>578</v>
      </c>
      <c r="V4" s="499" t="s">
        <v>255</v>
      </c>
      <c r="W4" s="499"/>
    </row>
    <row r="5" spans="1:26" s="248" customFormat="1" ht="24.75" customHeight="1" thickBot="1" x14ac:dyDescent="0.2">
      <c r="A5" s="249" t="s">
        <v>1</v>
      </c>
      <c r="B5" s="34" t="s">
        <v>2</v>
      </c>
      <c r="C5" s="34" t="s">
        <v>3</v>
      </c>
      <c r="D5" s="34" t="s">
        <v>428</v>
      </c>
      <c r="E5" s="1566"/>
      <c r="F5" s="1568"/>
      <c r="G5" s="402" t="s">
        <v>251</v>
      </c>
      <c r="H5" s="403" t="s">
        <v>252</v>
      </c>
      <c r="I5" s="1655"/>
      <c r="J5" s="1655"/>
      <c r="K5" s="1655"/>
      <c r="L5" s="1655"/>
      <c r="M5" s="1655"/>
      <c r="N5" s="1655"/>
      <c r="O5" s="1655"/>
      <c r="P5" s="1655"/>
      <c r="Q5" s="1655"/>
      <c r="R5" s="1656"/>
      <c r="S5" s="499"/>
      <c r="T5" s="500"/>
      <c r="U5" s="500"/>
      <c r="V5" s="499"/>
      <c r="W5" s="499"/>
    </row>
    <row r="6" spans="1:26" s="248" customFormat="1" ht="21.75" customHeight="1" thickTop="1" x14ac:dyDescent="0.15">
      <c r="A6" s="1657" t="s">
        <v>438</v>
      </c>
      <c r="B6" s="1658"/>
      <c r="C6" s="1658"/>
      <c r="D6" s="406"/>
      <c r="E6" s="329">
        <v>380700000</v>
      </c>
      <c r="F6" s="329">
        <f>F7+F47+F52+F92+F89</f>
        <v>378060000</v>
      </c>
      <c r="G6" s="252">
        <f>G7+G47+G52+G92+G89</f>
        <v>-2640000</v>
      </c>
      <c r="H6" s="501">
        <f>G6/E6*100</f>
        <v>-0.69345941686367218</v>
      </c>
      <c r="I6" s="1670"/>
      <c r="J6" s="1670"/>
      <c r="K6" s="1670"/>
      <c r="L6" s="1670"/>
      <c r="M6" s="1670"/>
      <c r="N6" s="1670"/>
      <c r="O6" s="1670"/>
      <c r="P6" s="1670"/>
      <c r="Q6" s="1670"/>
      <c r="R6" s="1671"/>
      <c r="S6" s="499"/>
      <c r="T6" s="500">
        <f>SUM(T8,T43,T44,T45,T51,T52)</f>
        <v>264293020</v>
      </c>
      <c r="U6" s="500">
        <f>SUM(U39,U40,U44,U46,U50,U89)</f>
        <v>101366980</v>
      </c>
      <c r="V6" s="502">
        <f>SUM(T6:U6)</f>
        <v>365660000</v>
      </c>
      <c r="W6" s="499"/>
    </row>
    <row r="7" spans="1:26" ht="21.75" customHeight="1" x14ac:dyDescent="0.15">
      <c r="A7" s="503" t="s">
        <v>256</v>
      </c>
      <c r="B7" s="1705" t="s">
        <v>255</v>
      </c>
      <c r="C7" s="1706"/>
      <c r="D7" s="504"/>
      <c r="E7" s="505">
        <v>172220000</v>
      </c>
      <c r="F7" s="505">
        <f>F8+F33+F38</f>
        <v>165060000</v>
      </c>
      <c r="G7" s="263">
        <f>G8+G33+G38</f>
        <v>-7160000</v>
      </c>
      <c r="H7" s="506">
        <f>G7/E7*100</f>
        <v>-4.157472999651608</v>
      </c>
      <c r="I7" s="1700"/>
      <c r="J7" s="1700"/>
      <c r="K7" s="1700"/>
      <c r="L7" s="1700"/>
      <c r="M7" s="1700"/>
      <c r="N7" s="1700"/>
      <c r="O7" s="1700"/>
      <c r="P7" s="1700"/>
      <c r="Q7" s="1700"/>
      <c r="R7" s="1701"/>
      <c r="S7" s="430"/>
      <c r="T7" s="507"/>
      <c r="U7" s="507"/>
      <c r="V7" s="508">
        <f>'[1]다-3.후원금세입'!E6-'[1]라-3.후원금세출'!F6</f>
        <v>0</v>
      </c>
      <c r="W7" s="430" t="s">
        <v>641</v>
      </c>
      <c r="X7" s="434" t="s">
        <v>638</v>
      </c>
      <c r="Y7" s="93" t="s">
        <v>639</v>
      </c>
    </row>
    <row r="8" spans="1:26" ht="21.75" customHeight="1" x14ac:dyDescent="0.15">
      <c r="A8" s="419"/>
      <c r="B8" s="230" t="s">
        <v>259</v>
      </c>
      <c r="C8" s="196" t="s">
        <v>258</v>
      </c>
      <c r="D8" s="196"/>
      <c r="E8" s="339">
        <v>50705030</v>
      </c>
      <c r="F8" s="339">
        <f>F9+F10+F11+F12+F26+F27+F32</f>
        <v>45293020</v>
      </c>
      <c r="G8" s="243">
        <f>F8-E8</f>
        <v>-5412010</v>
      </c>
      <c r="H8" s="509">
        <f t="shared" ref="H8:H71" si="0">G8/E8*100</f>
        <v>-10.673517006103733</v>
      </c>
      <c r="I8" s="1672"/>
      <c r="J8" s="1672"/>
      <c r="K8" s="1672"/>
      <c r="L8" s="1672"/>
      <c r="M8" s="1672"/>
      <c r="N8" s="1672"/>
      <c r="O8" s="1672"/>
      <c r="P8" s="1672"/>
      <c r="Q8" s="1672"/>
      <c r="R8" s="1673"/>
      <c r="S8" s="430"/>
      <c r="T8" s="507">
        <f>F8</f>
        <v>45293020</v>
      </c>
      <c r="U8" s="507"/>
      <c r="V8" s="430"/>
      <c r="W8" s="618">
        <v>500000</v>
      </c>
      <c r="X8" s="14">
        <f>'라. 세출내역서'!AA8</f>
        <v>344000000</v>
      </c>
      <c r="Y8" s="434">
        <f>'라. 세출내역서'!AB8</f>
        <v>0</v>
      </c>
      <c r="Z8" s="434">
        <f>SUM(W8:Y8)</f>
        <v>344500000</v>
      </c>
    </row>
    <row r="9" spans="1:26" ht="21.75" customHeight="1" x14ac:dyDescent="0.15">
      <c r="A9" s="426"/>
      <c r="B9" s="210"/>
      <c r="C9" s="196" t="s">
        <v>74</v>
      </c>
      <c r="D9" s="196"/>
      <c r="E9" s="339">
        <v>10000000</v>
      </c>
      <c r="F9" s="339">
        <v>5000000</v>
      </c>
      <c r="G9" s="243">
        <f t="shared" ref="G9:G72" si="1">F9-E9</f>
        <v>-5000000</v>
      </c>
      <c r="H9" s="509">
        <f t="shared" si="0"/>
        <v>-50</v>
      </c>
      <c r="I9" s="1672"/>
      <c r="J9" s="1672"/>
      <c r="K9" s="1672"/>
      <c r="L9" s="1672"/>
      <c r="M9" s="1672"/>
      <c r="N9" s="1672"/>
      <c r="O9" s="1672"/>
      <c r="P9" s="1672"/>
      <c r="Q9" s="1672"/>
      <c r="R9" s="1673"/>
      <c r="S9" s="430"/>
      <c r="T9" s="507"/>
      <c r="U9" s="507"/>
      <c r="V9" s="430"/>
      <c r="W9" s="430"/>
      <c r="X9" s="434"/>
      <c r="Z9" s="434">
        <f>F6-Z8</f>
        <v>33560000</v>
      </c>
    </row>
    <row r="10" spans="1:26" ht="21.75" hidden="1" customHeight="1" x14ac:dyDescent="0.15">
      <c r="A10" s="426"/>
      <c r="B10" s="212"/>
      <c r="C10" s="196" t="s">
        <v>521</v>
      </c>
      <c r="D10" s="196"/>
      <c r="E10" s="339">
        <v>0</v>
      </c>
      <c r="F10" s="339">
        <f>'[1]인건비총계표(후원금)'!G49+'[1]인건비총계표(후원금)'!J49+'[1]인건비총계표(후원금)'!H49</f>
        <v>0</v>
      </c>
      <c r="G10" s="243">
        <f t="shared" si="1"/>
        <v>0</v>
      </c>
      <c r="H10" s="509" t="e">
        <f t="shared" si="0"/>
        <v>#DIV/0!</v>
      </c>
      <c r="I10" s="1672"/>
      <c r="J10" s="1672"/>
      <c r="K10" s="1672"/>
      <c r="L10" s="1672"/>
      <c r="M10" s="1672"/>
      <c r="N10" s="1672"/>
      <c r="O10" s="1672"/>
      <c r="P10" s="1672"/>
      <c r="Q10" s="1672"/>
      <c r="R10" s="1673"/>
      <c r="S10" s="430"/>
      <c r="T10" s="507"/>
      <c r="U10" s="507"/>
      <c r="V10" s="430"/>
      <c r="W10" s="430"/>
    </row>
    <row r="11" spans="1:26" ht="21.75" customHeight="1" x14ac:dyDescent="0.15">
      <c r="A11" s="426"/>
      <c r="B11" s="212"/>
      <c r="C11" s="196" t="s">
        <v>522</v>
      </c>
      <c r="D11" s="196"/>
      <c r="E11" s="339">
        <v>9600000</v>
      </c>
      <c r="F11" s="339">
        <v>9600000</v>
      </c>
      <c r="G11" s="243">
        <f t="shared" si="1"/>
        <v>0</v>
      </c>
      <c r="H11" s="509">
        <f t="shared" si="0"/>
        <v>0</v>
      </c>
      <c r="I11" s="1672" t="s">
        <v>579</v>
      </c>
      <c r="J11" s="1672"/>
      <c r="K11" s="1672"/>
      <c r="L11" s="1672"/>
      <c r="M11" s="1672"/>
      <c r="N11" s="1672"/>
      <c r="O11" s="1672"/>
      <c r="P11" s="1672"/>
      <c r="Q11" s="1672"/>
      <c r="R11" s="1673"/>
      <c r="S11" s="430"/>
      <c r="T11" s="507"/>
      <c r="U11" s="507"/>
      <c r="V11" s="430"/>
      <c r="W11" s="430"/>
      <c r="X11" s="434"/>
    </row>
    <row r="12" spans="1:26" ht="21.75" hidden="1" customHeight="1" x14ac:dyDescent="0.15">
      <c r="A12" s="426"/>
      <c r="B12" s="212"/>
      <c r="C12" s="196" t="s">
        <v>62</v>
      </c>
      <c r="D12" s="196" t="s">
        <v>258</v>
      </c>
      <c r="E12" s="339">
        <v>0</v>
      </c>
      <c r="F12" s="339">
        <f>SUM(F13:F25)</f>
        <v>0</v>
      </c>
      <c r="G12" s="243">
        <f t="shared" si="1"/>
        <v>0</v>
      </c>
      <c r="H12" s="509" t="e">
        <f t="shared" si="0"/>
        <v>#DIV/0!</v>
      </c>
      <c r="I12" s="1672"/>
      <c r="J12" s="1672"/>
      <c r="K12" s="1672"/>
      <c r="L12" s="1672"/>
      <c r="M12" s="1672"/>
      <c r="N12" s="1672"/>
      <c r="O12" s="1672"/>
      <c r="P12" s="1672"/>
      <c r="Q12" s="1672"/>
      <c r="R12" s="1673"/>
      <c r="S12" s="430"/>
      <c r="T12" s="507"/>
      <c r="U12" s="507"/>
      <c r="V12" s="430"/>
      <c r="W12" s="430"/>
    </row>
    <row r="13" spans="1:26" ht="15.75" hidden="1" customHeight="1" x14ac:dyDescent="0.15">
      <c r="A13" s="426"/>
      <c r="B13" s="212"/>
      <c r="C13" s="210"/>
      <c r="D13" s="196" t="s">
        <v>523</v>
      </c>
      <c r="E13" s="339">
        <v>0</v>
      </c>
      <c r="F13" s="339">
        <f>'[1]인건비총계표(후원금)'!K49</f>
        <v>0</v>
      </c>
      <c r="G13" s="243">
        <f t="shared" si="1"/>
        <v>0</v>
      </c>
      <c r="H13" s="509" t="e">
        <f t="shared" si="0"/>
        <v>#DIV/0!</v>
      </c>
      <c r="I13" s="1672"/>
      <c r="J13" s="1672"/>
      <c r="K13" s="1672"/>
      <c r="L13" s="1672"/>
      <c r="M13" s="1672"/>
      <c r="N13" s="1672"/>
      <c r="O13" s="1672"/>
      <c r="P13" s="1672"/>
      <c r="Q13" s="1672"/>
      <c r="R13" s="1673"/>
      <c r="S13" s="430"/>
      <c r="T13" s="507"/>
      <c r="U13" s="507"/>
      <c r="V13" s="430"/>
      <c r="W13" s="430"/>
    </row>
    <row r="14" spans="1:26" ht="24" hidden="1" customHeight="1" x14ac:dyDescent="0.15">
      <c r="A14" s="426"/>
      <c r="B14" s="212"/>
      <c r="C14" s="212"/>
      <c r="D14" s="196" t="s">
        <v>524</v>
      </c>
      <c r="E14" s="339">
        <v>0</v>
      </c>
      <c r="F14" s="339">
        <f>'[1]인건비총계표(후원금)'!L6+'[1]인건비총계표(후원금)'!L49</f>
        <v>0</v>
      </c>
      <c r="G14" s="243">
        <f t="shared" si="1"/>
        <v>0</v>
      </c>
      <c r="H14" s="509" t="e">
        <f t="shared" si="0"/>
        <v>#DIV/0!</v>
      </c>
      <c r="I14" s="1619"/>
      <c r="J14" s="1639"/>
      <c r="K14" s="1639"/>
      <c r="L14" s="1639"/>
      <c r="M14" s="1639"/>
      <c r="N14" s="1639"/>
      <c r="O14" s="1639"/>
      <c r="P14" s="1639"/>
      <c r="Q14" s="1639"/>
      <c r="R14" s="1640"/>
      <c r="S14" s="430"/>
      <c r="T14" s="507"/>
      <c r="U14" s="507"/>
      <c r="V14" s="430"/>
      <c r="W14" s="430"/>
    </row>
    <row r="15" spans="1:26" ht="21" hidden="1" customHeight="1" x14ac:dyDescent="0.15">
      <c r="A15" s="426"/>
      <c r="B15" s="212"/>
      <c r="C15" s="510"/>
      <c r="D15" s="230" t="s">
        <v>441</v>
      </c>
      <c r="E15" s="339">
        <v>0</v>
      </c>
      <c r="F15" s="339">
        <f>'[1]인건비총계표(후원금)'!M49</f>
        <v>0</v>
      </c>
      <c r="G15" s="243">
        <f t="shared" si="1"/>
        <v>0</v>
      </c>
      <c r="H15" s="509" t="e">
        <f t="shared" si="0"/>
        <v>#DIV/0!</v>
      </c>
      <c r="I15" s="1672"/>
      <c r="J15" s="1672"/>
      <c r="K15" s="1672"/>
      <c r="L15" s="1672"/>
      <c r="M15" s="1672"/>
      <c r="N15" s="1672"/>
      <c r="O15" s="1672"/>
      <c r="P15" s="1672"/>
      <c r="Q15" s="1672"/>
      <c r="R15" s="1673"/>
      <c r="S15" s="430"/>
      <c r="T15" s="507"/>
      <c r="U15" s="507"/>
      <c r="V15" s="430"/>
      <c r="W15" s="430"/>
    </row>
    <row r="16" spans="1:26" ht="15.75" hidden="1" customHeight="1" x14ac:dyDescent="0.15">
      <c r="A16" s="426"/>
      <c r="B16" s="212"/>
      <c r="C16" s="510"/>
      <c r="D16" s="196" t="s">
        <v>525</v>
      </c>
      <c r="E16" s="339">
        <v>0</v>
      </c>
      <c r="F16" s="339">
        <v>0</v>
      </c>
      <c r="G16" s="243">
        <f t="shared" si="1"/>
        <v>0</v>
      </c>
      <c r="H16" s="509" t="e">
        <f t="shared" si="0"/>
        <v>#DIV/0!</v>
      </c>
      <c r="I16" s="1641"/>
      <c r="J16" s="1642"/>
      <c r="K16" s="1642"/>
      <c r="L16" s="1642"/>
      <c r="M16" s="1642"/>
      <c r="N16" s="1642"/>
      <c r="O16" s="1642"/>
      <c r="P16" s="1642"/>
      <c r="Q16" s="1642"/>
      <c r="R16" s="1643"/>
      <c r="S16" s="430"/>
      <c r="T16" s="507"/>
      <c r="U16" s="507"/>
      <c r="V16" s="430"/>
      <c r="W16" s="430"/>
    </row>
    <row r="17" spans="1:23" ht="15.75" hidden="1" customHeight="1" x14ac:dyDescent="0.15">
      <c r="A17" s="426"/>
      <c r="B17" s="212"/>
      <c r="C17" s="510"/>
      <c r="D17" s="196" t="s">
        <v>526</v>
      </c>
      <c r="E17" s="339">
        <v>0</v>
      </c>
      <c r="F17" s="339">
        <f>'[1]인건비총계표(후원금)'!N49</f>
        <v>0</v>
      </c>
      <c r="G17" s="243">
        <f t="shared" si="1"/>
        <v>0</v>
      </c>
      <c r="H17" s="509" t="e">
        <f t="shared" si="0"/>
        <v>#DIV/0!</v>
      </c>
      <c r="I17" s="1641"/>
      <c r="J17" s="1642"/>
      <c r="K17" s="1642"/>
      <c r="L17" s="1642"/>
      <c r="M17" s="1642"/>
      <c r="N17" s="1642"/>
      <c r="O17" s="1642"/>
      <c r="P17" s="1642"/>
      <c r="Q17" s="1642"/>
      <c r="R17" s="1643"/>
      <c r="S17" s="430"/>
      <c r="T17" s="507"/>
      <c r="U17" s="507"/>
      <c r="V17" s="430"/>
      <c r="W17" s="430"/>
    </row>
    <row r="18" spans="1:23" ht="15.75" hidden="1" customHeight="1" x14ac:dyDescent="0.15">
      <c r="A18" s="426"/>
      <c r="B18" s="212"/>
      <c r="C18" s="510"/>
      <c r="D18" s="196" t="s">
        <v>527</v>
      </c>
      <c r="E18" s="339">
        <v>0</v>
      </c>
      <c r="F18" s="339">
        <v>0</v>
      </c>
      <c r="G18" s="243">
        <f t="shared" si="1"/>
        <v>0</v>
      </c>
      <c r="H18" s="509" t="e">
        <f t="shared" si="0"/>
        <v>#DIV/0!</v>
      </c>
      <c r="I18" s="1638"/>
      <c r="J18" s="1639"/>
      <c r="K18" s="1639"/>
      <c r="L18" s="1639"/>
      <c r="M18" s="1639"/>
      <c r="N18" s="1639"/>
      <c r="O18" s="1639"/>
      <c r="P18" s="1639"/>
      <c r="Q18" s="1639"/>
      <c r="R18" s="1640"/>
      <c r="S18" s="430"/>
      <c r="T18" s="507"/>
      <c r="U18" s="507"/>
      <c r="V18" s="430"/>
      <c r="W18" s="430"/>
    </row>
    <row r="19" spans="1:23" ht="22.5" hidden="1" customHeight="1" x14ac:dyDescent="0.15">
      <c r="A19" s="426"/>
      <c r="B19" s="212"/>
      <c r="C19" s="510"/>
      <c r="D19" s="230" t="s">
        <v>442</v>
      </c>
      <c r="E19" s="339">
        <v>0</v>
      </c>
      <c r="F19" s="339">
        <f>'[1]인건비(후원금)'!L5</f>
        <v>0</v>
      </c>
      <c r="G19" s="243">
        <f t="shared" si="1"/>
        <v>0</v>
      </c>
      <c r="H19" s="509" t="e">
        <f t="shared" si="0"/>
        <v>#DIV/0!</v>
      </c>
      <c r="I19" s="1672" t="s">
        <v>580</v>
      </c>
      <c r="J19" s="1672"/>
      <c r="K19" s="1672"/>
      <c r="L19" s="1672"/>
      <c r="M19" s="1672"/>
      <c r="N19" s="1672"/>
      <c r="O19" s="1672"/>
      <c r="P19" s="1672"/>
      <c r="Q19" s="1672"/>
      <c r="R19" s="1673"/>
      <c r="S19" s="430"/>
      <c r="T19" s="507"/>
      <c r="U19" s="507"/>
      <c r="V19" s="430"/>
      <c r="W19" s="430"/>
    </row>
    <row r="20" spans="1:23" ht="15.75" hidden="1" customHeight="1" x14ac:dyDescent="0.15">
      <c r="A20" s="426"/>
      <c r="B20" s="212"/>
      <c r="C20" s="510"/>
      <c r="D20" s="230" t="s">
        <v>443</v>
      </c>
      <c r="E20" s="339">
        <v>0</v>
      </c>
      <c r="F20" s="339">
        <f>'[1]인건비총계표(후원금)'!O49</f>
        <v>0</v>
      </c>
      <c r="G20" s="243">
        <f t="shared" si="1"/>
        <v>0</v>
      </c>
      <c r="H20" s="509" t="e">
        <f t="shared" si="0"/>
        <v>#DIV/0!</v>
      </c>
      <c r="I20" s="1672"/>
      <c r="J20" s="1672"/>
      <c r="K20" s="1672"/>
      <c r="L20" s="1672"/>
      <c r="M20" s="1672"/>
      <c r="N20" s="1672"/>
      <c r="O20" s="1672"/>
      <c r="P20" s="1672"/>
      <c r="Q20" s="1672"/>
      <c r="R20" s="1673"/>
      <c r="S20" s="430"/>
      <c r="T20" s="507"/>
      <c r="U20" s="507"/>
      <c r="V20" s="430"/>
      <c r="W20" s="430"/>
    </row>
    <row r="21" spans="1:23" ht="15.75" hidden="1" customHeight="1" x14ac:dyDescent="0.15">
      <c r="A21" s="426"/>
      <c r="B21" s="212"/>
      <c r="C21" s="510"/>
      <c r="D21" s="230" t="s">
        <v>457</v>
      </c>
      <c r="E21" s="339">
        <v>0</v>
      </c>
      <c r="F21" s="339">
        <f>'[1]인건비총계표(후원금)'!R49</f>
        <v>0</v>
      </c>
      <c r="G21" s="243">
        <f t="shared" si="1"/>
        <v>0</v>
      </c>
      <c r="H21" s="509" t="e">
        <f t="shared" si="0"/>
        <v>#DIV/0!</v>
      </c>
      <c r="I21" s="1672"/>
      <c r="J21" s="1672"/>
      <c r="K21" s="1672"/>
      <c r="L21" s="1672"/>
      <c r="M21" s="1672"/>
      <c r="N21" s="1672"/>
      <c r="O21" s="1672"/>
      <c r="P21" s="1672"/>
      <c r="Q21" s="1672"/>
      <c r="R21" s="1673"/>
      <c r="S21" s="430"/>
      <c r="T21" s="507"/>
      <c r="U21" s="507"/>
      <c r="V21" s="430"/>
      <c r="W21" s="430"/>
    </row>
    <row r="22" spans="1:23" ht="15.75" hidden="1" customHeight="1" x14ac:dyDescent="0.15">
      <c r="A22" s="426"/>
      <c r="B22" s="212"/>
      <c r="C22" s="510"/>
      <c r="D22" s="230" t="s">
        <v>581</v>
      </c>
      <c r="E22" s="339">
        <v>0</v>
      </c>
      <c r="F22" s="339">
        <v>0</v>
      </c>
      <c r="G22" s="243">
        <f t="shared" si="1"/>
        <v>0</v>
      </c>
      <c r="H22" s="509" t="e">
        <f t="shared" si="0"/>
        <v>#DIV/0!</v>
      </c>
      <c r="I22" s="1672"/>
      <c r="J22" s="1672"/>
      <c r="K22" s="1672"/>
      <c r="L22" s="1672"/>
      <c r="M22" s="1672"/>
      <c r="N22" s="1672"/>
      <c r="O22" s="1672"/>
      <c r="P22" s="1672"/>
      <c r="Q22" s="1672"/>
      <c r="R22" s="1673"/>
      <c r="S22" s="430"/>
      <c r="T22" s="507"/>
      <c r="U22" s="507"/>
      <c r="V22" s="430"/>
      <c r="W22" s="430"/>
    </row>
    <row r="23" spans="1:23" ht="21" hidden="1" customHeight="1" x14ac:dyDescent="0.15">
      <c r="A23" s="426"/>
      <c r="B23" s="212"/>
      <c r="C23" s="510"/>
      <c r="D23" s="230" t="s">
        <v>582</v>
      </c>
      <c r="E23" s="339">
        <v>0</v>
      </c>
      <c r="F23" s="339">
        <f>'[1]인건비총계표(후원금)'!S49</f>
        <v>0</v>
      </c>
      <c r="G23" s="243">
        <f t="shared" si="1"/>
        <v>0</v>
      </c>
      <c r="H23" s="509" t="e">
        <f t="shared" si="0"/>
        <v>#DIV/0!</v>
      </c>
      <c r="I23" s="1641"/>
      <c r="J23" s="1642"/>
      <c r="K23" s="1642"/>
      <c r="L23" s="1642"/>
      <c r="M23" s="1642"/>
      <c r="N23" s="1642"/>
      <c r="O23" s="1642"/>
      <c r="P23" s="1642"/>
      <c r="Q23" s="1642"/>
      <c r="R23" s="1643"/>
      <c r="S23" s="430"/>
      <c r="T23" s="507"/>
      <c r="U23" s="507"/>
      <c r="V23" s="430"/>
      <c r="W23" s="430"/>
    </row>
    <row r="24" spans="1:23" ht="15.75" hidden="1" customHeight="1" x14ac:dyDescent="0.15">
      <c r="A24" s="426"/>
      <c r="B24" s="212"/>
      <c r="C24" s="510"/>
      <c r="D24" s="230" t="s">
        <v>583</v>
      </c>
      <c r="E24" s="339">
        <v>0</v>
      </c>
      <c r="F24" s="339">
        <v>0</v>
      </c>
      <c r="G24" s="243">
        <f t="shared" si="1"/>
        <v>0</v>
      </c>
      <c r="H24" s="509" t="e">
        <f t="shared" si="0"/>
        <v>#DIV/0!</v>
      </c>
      <c r="I24" s="1638"/>
      <c r="J24" s="1639"/>
      <c r="K24" s="1639"/>
      <c r="L24" s="1639"/>
      <c r="M24" s="1639"/>
      <c r="N24" s="1639"/>
      <c r="O24" s="1639"/>
      <c r="P24" s="1639"/>
      <c r="Q24" s="1639"/>
      <c r="R24" s="1640"/>
      <c r="S24" s="430"/>
      <c r="T24" s="507"/>
      <c r="U24" s="507"/>
      <c r="V24" s="430"/>
      <c r="W24" s="430"/>
    </row>
    <row r="25" spans="1:23" ht="15.75" hidden="1" customHeight="1" x14ac:dyDescent="0.15">
      <c r="A25" s="426"/>
      <c r="B25" s="212"/>
      <c r="C25" s="480"/>
      <c r="D25" s="230" t="s">
        <v>584</v>
      </c>
      <c r="E25" s="339"/>
      <c r="F25" s="339"/>
      <c r="G25" s="243">
        <f t="shared" si="1"/>
        <v>0</v>
      </c>
      <c r="H25" s="509" t="e">
        <f t="shared" si="0"/>
        <v>#DIV/0!</v>
      </c>
      <c r="I25" s="1641"/>
      <c r="J25" s="1642"/>
      <c r="K25" s="1642"/>
      <c r="L25" s="1642"/>
      <c r="M25" s="1642"/>
      <c r="N25" s="1642"/>
      <c r="O25" s="1642"/>
      <c r="P25" s="1642"/>
      <c r="Q25" s="1642"/>
      <c r="R25" s="1643"/>
      <c r="S25" s="430"/>
      <c r="T25" s="507"/>
      <c r="U25" s="507"/>
      <c r="V25" s="430"/>
      <c r="W25" s="430"/>
    </row>
    <row r="26" spans="1:23" ht="22.5" customHeight="1" x14ac:dyDescent="0.15">
      <c r="A26" s="426"/>
      <c r="B26" s="212"/>
      <c r="C26" s="230" t="s">
        <v>530</v>
      </c>
      <c r="D26" s="230"/>
      <c r="E26" s="511">
        <v>600000</v>
      </c>
      <c r="F26" s="17">
        <f>ROUNDUP(F9*8.3333%,-1)</f>
        <v>416670</v>
      </c>
      <c r="G26" s="512">
        <f t="shared" si="1"/>
        <v>-183330</v>
      </c>
      <c r="H26" s="509">
        <f t="shared" si="0"/>
        <v>-30.555</v>
      </c>
      <c r="I26" s="1672"/>
      <c r="J26" s="1672"/>
      <c r="K26" s="1672"/>
      <c r="L26" s="1672"/>
      <c r="M26" s="1672"/>
      <c r="N26" s="1672"/>
      <c r="O26" s="1672"/>
      <c r="P26" s="1672"/>
      <c r="Q26" s="1672"/>
      <c r="R26" s="1673"/>
      <c r="S26" s="430"/>
      <c r="T26" s="507"/>
      <c r="U26" s="507"/>
      <c r="V26" s="430"/>
      <c r="W26" s="430"/>
    </row>
    <row r="27" spans="1:23" ht="22.5" customHeight="1" x14ac:dyDescent="0.15">
      <c r="A27" s="426"/>
      <c r="B27" s="212"/>
      <c r="C27" s="230" t="s">
        <v>531</v>
      </c>
      <c r="D27" s="230" t="s">
        <v>258</v>
      </c>
      <c r="E27" s="339">
        <v>505030</v>
      </c>
      <c r="F27" s="339">
        <f>SUM(F28:F31)</f>
        <v>276350</v>
      </c>
      <c r="G27" s="243">
        <f t="shared" si="1"/>
        <v>-228680</v>
      </c>
      <c r="H27" s="509">
        <f t="shared" si="0"/>
        <v>-45.280478387422527</v>
      </c>
      <c r="I27" s="1641"/>
      <c r="J27" s="1642"/>
      <c r="K27" s="1642"/>
      <c r="L27" s="1642"/>
      <c r="M27" s="1642"/>
      <c r="N27" s="1642"/>
      <c r="O27" s="1642"/>
      <c r="P27" s="1642"/>
      <c r="Q27" s="1642"/>
      <c r="R27" s="1643"/>
      <c r="S27" s="513" t="s">
        <v>585</v>
      </c>
      <c r="T27" s="507"/>
      <c r="U27" s="507"/>
      <c r="V27" s="430"/>
      <c r="W27" s="430"/>
    </row>
    <row r="28" spans="1:23" ht="31.5" customHeight="1" x14ac:dyDescent="0.15">
      <c r="A28" s="426"/>
      <c r="B28" s="212"/>
      <c r="C28" s="514"/>
      <c r="D28" s="514" t="s">
        <v>586</v>
      </c>
      <c r="E28" s="350">
        <v>335030</v>
      </c>
      <c r="F28" s="350">
        <f>U28</f>
        <v>183850</v>
      </c>
      <c r="G28" s="243">
        <f t="shared" si="1"/>
        <v>-151180</v>
      </c>
      <c r="H28" s="509">
        <f t="shared" si="0"/>
        <v>-45.124317225323111</v>
      </c>
      <c r="I28" s="1702" t="s">
        <v>587</v>
      </c>
      <c r="J28" s="1703"/>
      <c r="K28" s="1703"/>
      <c r="L28" s="1703"/>
      <c r="M28" s="1703"/>
      <c r="N28" s="1703"/>
      <c r="O28" s="1703"/>
      <c r="P28" s="1703"/>
      <c r="Q28" s="1703"/>
      <c r="R28" s="1704"/>
      <c r="S28" s="515">
        <f>ROUNDUP(F9*3.335%,-1)</f>
        <v>166750</v>
      </c>
      <c r="T28" s="515">
        <f>ROUNDUP(S28*10.25%,-1)</f>
        <v>17100</v>
      </c>
      <c r="U28" s="516">
        <f>SUM(S28:T28)</f>
        <v>183850</v>
      </c>
      <c r="V28" s="430"/>
      <c r="W28" s="430"/>
    </row>
    <row r="29" spans="1:23" ht="22.5" hidden="1" customHeight="1" x14ac:dyDescent="0.15">
      <c r="A29" s="426"/>
      <c r="B29" s="212"/>
      <c r="C29" s="510"/>
      <c r="D29" s="230" t="s">
        <v>534</v>
      </c>
      <c r="E29" s="339">
        <v>0</v>
      </c>
      <c r="F29" s="339">
        <f>'[1]인건비총계표(후원금)'!W49</f>
        <v>0</v>
      </c>
      <c r="G29" s="243">
        <f t="shared" si="1"/>
        <v>0</v>
      </c>
      <c r="H29" s="509" t="e">
        <f t="shared" si="0"/>
        <v>#DIV/0!</v>
      </c>
      <c r="I29" s="1599"/>
      <c r="J29" s="1599"/>
      <c r="K29" s="1599"/>
      <c r="L29" s="1599"/>
      <c r="M29" s="1599"/>
      <c r="N29" s="1599"/>
      <c r="O29" s="1599"/>
      <c r="P29" s="1599"/>
      <c r="Q29" s="1599"/>
      <c r="R29" s="1600"/>
      <c r="S29" s="515">
        <f>ROUNDUP(F22*3.12%,-1)</f>
        <v>0</v>
      </c>
      <c r="T29" s="516"/>
      <c r="U29" s="516"/>
      <c r="V29" s="430"/>
      <c r="W29" s="430"/>
    </row>
    <row r="30" spans="1:23" ht="22.5" customHeight="1" x14ac:dyDescent="0.15">
      <c r="A30" s="426"/>
      <c r="B30" s="212"/>
      <c r="C30" s="510"/>
      <c r="D30" s="230" t="s">
        <v>588</v>
      </c>
      <c r="E30" s="339">
        <v>90000</v>
      </c>
      <c r="F30" s="339">
        <f>T30</f>
        <v>52500</v>
      </c>
      <c r="G30" s="243">
        <f t="shared" si="1"/>
        <v>-37500</v>
      </c>
      <c r="H30" s="509">
        <f t="shared" si="0"/>
        <v>-41.666666666666671</v>
      </c>
      <c r="I30" s="1528" t="s">
        <v>589</v>
      </c>
      <c r="J30" s="1529"/>
      <c r="K30" s="1529"/>
      <c r="L30" s="1529"/>
      <c r="M30" s="1529"/>
      <c r="N30" s="1529"/>
      <c r="O30" s="1529"/>
      <c r="P30" s="1529"/>
      <c r="Q30" s="1529"/>
      <c r="R30" s="1530"/>
      <c r="S30" s="515">
        <f>F9</f>
        <v>5000000</v>
      </c>
      <c r="T30" s="515">
        <f>ROUNDUP(S30*1.05%,-1)</f>
        <v>52500</v>
      </c>
      <c r="U30" s="516"/>
      <c r="V30" s="430"/>
      <c r="W30" s="430"/>
    </row>
    <row r="31" spans="1:23" ht="22.5" customHeight="1" x14ac:dyDescent="0.15">
      <c r="A31" s="426"/>
      <c r="B31" s="212"/>
      <c r="C31" s="214"/>
      <c r="D31" s="230" t="s">
        <v>590</v>
      </c>
      <c r="E31" s="339">
        <v>80000</v>
      </c>
      <c r="F31" s="339">
        <f>T31</f>
        <v>40000</v>
      </c>
      <c r="G31" s="243">
        <f t="shared" si="1"/>
        <v>-40000</v>
      </c>
      <c r="H31" s="509">
        <f t="shared" si="0"/>
        <v>-50</v>
      </c>
      <c r="I31" s="1528" t="s">
        <v>591</v>
      </c>
      <c r="J31" s="1529"/>
      <c r="K31" s="1529"/>
      <c r="L31" s="1529"/>
      <c r="M31" s="1529"/>
      <c r="N31" s="1529"/>
      <c r="O31" s="1529"/>
      <c r="P31" s="1529"/>
      <c r="Q31" s="1529"/>
      <c r="R31" s="1530"/>
      <c r="S31" s="515">
        <f>F9</f>
        <v>5000000</v>
      </c>
      <c r="T31" s="515">
        <f>ROUNDUP(S31*0.8%,-1)</f>
        <v>40000</v>
      </c>
      <c r="U31" s="516"/>
      <c r="V31" s="430"/>
      <c r="W31" s="430"/>
    </row>
    <row r="32" spans="1:23" ht="25.5" customHeight="1" x14ac:dyDescent="0.15">
      <c r="A32" s="426"/>
      <c r="B32" s="214"/>
      <c r="C32" s="196" t="s">
        <v>266</v>
      </c>
      <c r="D32" s="196"/>
      <c r="E32" s="339">
        <v>30000000</v>
      </c>
      <c r="F32" s="339">
        <v>30000000</v>
      </c>
      <c r="G32" s="243">
        <f t="shared" si="1"/>
        <v>0</v>
      </c>
      <c r="H32" s="509">
        <f t="shared" si="0"/>
        <v>0</v>
      </c>
      <c r="I32" s="1672" t="s">
        <v>592</v>
      </c>
      <c r="J32" s="1672"/>
      <c r="K32" s="1672"/>
      <c r="L32" s="1672"/>
      <c r="M32" s="1672"/>
      <c r="N32" s="1672"/>
      <c r="O32" s="1672"/>
      <c r="P32" s="1672"/>
      <c r="Q32" s="1672"/>
      <c r="R32" s="1673"/>
      <c r="S32" s="430"/>
      <c r="T32" s="507"/>
      <c r="U32" s="507"/>
      <c r="V32" s="430"/>
      <c r="W32" s="430"/>
    </row>
    <row r="33" spans="1:23" ht="22.5" hidden="1" customHeight="1" x14ac:dyDescent="0.15">
      <c r="A33" s="426"/>
      <c r="B33" s="196" t="s">
        <v>267</v>
      </c>
      <c r="C33" s="196" t="s">
        <v>258</v>
      </c>
      <c r="D33" s="196"/>
      <c r="E33" s="335">
        <v>0</v>
      </c>
      <c r="F33" s="335">
        <f>SUM(F34:F37)</f>
        <v>0</v>
      </c>
      <c r="G33" s="243">
        <f t="shared" si="1"/>
        <v>0</v>
      </c>
      <c r="H33" s="509" t="e">
        <f t="shared" si="0"/>
        <v>#DIV/0!</v>
      </c>
      <c r="I33" s="1672"/>
      <c r="J33" s="1672"/>
      <c r="K33" s="1672"/>
      <c r="L33" s="1672"/>
      <c r="M33" s="1672"/>
      <c r="N33" s="1672"/>
      <c r="O33" s="1672"/>
      <c r="P33" s="1672"/>
      <c r="Q33" s="1672"/>
      <c r="R33" s="1673"/>
      <c r="S33" s="430"/>
      <c r="T33" s="507"/>
      <c r="U33" s="507">
        <f>F33</f>
        <v>0</v>
      </c>
      <c r="V33" s="430"/>
      <c r="W33" s="430"/>
    </row>
    <row r="34" spans="1:23" ht="15.75" hidden="1" customHeight="1" x14ac:dyDescent="0.15">
      <c r="A34" s="426"/>
      <c r="B34" s="514"/>
      <c r="C34" s="196" t="s">
        <v>456</v>
      </c>
      <c r="D34" s="196"/>
      <c r="E34" s="339">
        <v>0</v>
      </c>
      <c r="F34" s="339">
        <v>0</v>
      </c>
      <c r="G34" s="243">
        <f t="shared" si="1"/>
        <v>0</v>
      </c>
      <c r="H34" s="509" t="e">
        <f t="shared" si="0"/>
        <v>#DIV/0!</v>
      </c>
      <c r="I34" s="1672"/>
      <c r="J34" s="1672"/>
      <c r="K34" s="1672"/>
      <c r="L34" s="1672"/>
      <c r="M34" s="1672"/>
      <c r="N34" s="1672"/>
      <c r="O34" s="1672"/>
      <c r="P34" s="1672"/>
      <c r="Q34" s="1672"/>
      <c r="R34" s="1673"/>
      <c r="S34" s="430"/>
      <c r="T34" s="507"/>
      <c r="U34" s="507"/>
      <c r="V34" s="430"/>
      <c r="W34" s="430"/>
    </row>
    <row r="35" spans="1:23" ht="15.75" hidden="1" customHeight="1" x14ac:dyDescent="0.15">
      <c r="A35" s="426"/>
      <c r="B35" s="212"/>
      <c r="C35" s="196" t="s">
        <v>457</v>
      </c>
      <c r="D35" s="196"/>
      <c r="E35" s="339">
        <v>0</v>
      </c>
      <c r="F35" s="339">
        <v>0</v>
      </c>
      <c r="G35" s="243">
        <f t="shared" si="1"/>
        <v>0</v>
      </c>
      <c r="H35" s="509" t="e">
        <f t="shared" si="0"/>
        <v>#DIV/0!</v>
      </c>
      <c r="I35" s="1672"/>
      <c r="J35" s="1672"/>
      <c r="K35" s="1672"/>
      <c r="L35" s="1672"/>
      <c r="M35" s="1672"/>
      <c r="N35" s="1672"/>
      <c r="O35" s="1672"/>
      <c r="P35" s="1672"/>
      <c r="Q35" s="1672"/>
      <c r="R35" s="1673"/>
      <c r="S35" s="430"/>
      <c r="T35" s="507"/>
      <c r="U35" s="507"/>
      <c r="V35" s="430"/>
      <c r="W35" s="430"/>
    </row>
    <row r="36" spans="1:23" ht="24" hidden="1" customHeight="1" x14ac:dyDescent="0.15">
      <c r="A36" s="426"/>
      <c r="B36" s="212"/>
      <c r="C36" s="196" t="s">
        <v>541</v>
      </c>
      <c r="D36" s="196"/>
      <c r="E36" s="339">
        <v>0</v>
      </c>
      <c r="F36" s="339">
        <v>0</v>
      </c>
      <c r="G36" s="243">
        <f t="shared" si="1"/>
        <v>0</v>
      </c>
      <c r="H36" s="509" t="e">
        <f t="shared" si="0"/>
        <v>#DIV/0!</v>
      </c>
      <c r="I36" s="1672"/>
      <c r="J36" s="1672"/>
      <c r="K36" s="1672"/>
      <c r="L36" s="1672"/>
      <c r="M36" s="1672"/>
      <c r="N36" s="1672"/>
      <c r="O36" s="1672"/>
      <c r="P36" s="1672"/>
      <c r="Q36" s="1672"/>
      <c r="R36" s="1673"/>
      <c r="S36" s="430"/>
      <c r="T36" s="507"/>
      <c r="U36" s="507"/>
      <c r="V36" s="430"/>
      <c r="W36" s="430"/>
    </row>
    <row r="37" spans="1:23" ht="24" hidden="1" customHeight="1" x14ac:dyDescent="0.15">
      <c r="A37" s="426"/>
      <c r="B37" s="214"/>
      <c r="C37" s="196" t="s">
        <v>269</v>
      </c>
      <c r="D37" s="196"/>
      <c r="E37" s="339">
        <v>0</v>
      </c>
      <c r="F37" s="339">
        <v>0</v>
      </c>
      <c r="G37" s="243">
        <f t="shared" si="1"/>
        <v>0</v>
      </c>
      <c r="H37" s="509" t="e">
        <f t="shared" si="0"/>
        <v>#DIV/0!</v>
      </c>
      <c r="I37" s="1672"/>
      <c r="J37" s="1672"/>
      <c r="K37" s="1672"/>
      <c r="L37" s="1672"/>
      <c r="M37" s="1672"/>
      <c r="N37" s="1672"/>
      <c r="O37" s="1672"/>
      <c r="P37" s="1672"/>
      <c r="Q37" s="1672"/>
      <c r="R37" s="1673"/>
      <c r="S37" s="430"/>
      <c r="T37" s="507"/>
      <c r="U37" s="507"/>
      <c r="V37" s="430"/>
      <c r="W37" s="430"/>
    </row>
    <row r="38" spans="1:23" ht="26.25" customHeight="1" x14ac:dyDescent="0.15">
      <c r="A38" s="426"/>
      <c r="B38" s="196" t="s">
        <v>270</v>
      </c>
      <c r="C38" s="196" t="s">
        <v>258</v>
      </c>
      <c r="D38" s="196"/>
      <c r="E38" s="339">
        <v>121514970</v>
      </c>
      <c r="F38" s="339">
        <f>SUM(F39,F40,F43:F46)</f>
        <v>119766980</v>
      </c>
      <c r="G38" s="243">
        <f t="shared" si="1"/>
        <v>-1747990</v>
      </c>
      <c r="H38" s="509">
        <f t="shared" si="0"/>
        <v>-1.4384976600002453</v>
      </c>
      <c r="I38" s="1672"/>
      <c r="J38" s="1672"/>
      <c r="K38" s="1672"/>
      <c r="L38" s="1672"/>
      <c r="M38" s="1672"/>
      <c r="N38" s="1672"/>
      <c r="O38" s="1672"/>
      <c r="P38" s="1672"/>
      <c r="Q38" s="1672"/>
      <c r="R38" s="1673"/>
      <c r="S38" s="430"/>
      <c r="T38" s="507"/>
      <c r="U38" s="507"/>
      <c r="V38" s="430"/>
      <c r="W38" s="430"/>
    </row>
    <row r="39" spans="1:23" ht="27.75" customHeight="1" x14ac:dyDescent="0.15">
      <c r="A39" s="426"/>
      <c r="B39" s="210"/>
      <c r="C39" s="196" t="s">
        <v>272</v>
      </c>
      <c r="D39" s="196"/>
      <c r="E39" s="339">
        <v>5000000</v>
      </c>
      <c r="F39" s="339">
        <v>5000000</v>
      </c>
      <c r="G39" s="243">
        <f t="shared" si="1"/>
        <v>0</v>
      </c>
      <c r="H39" s="509">
        <f t="shared" si="0"/>
        <v>0</v>
      </c>
      <c r="I39" s="1672" t="s">
        <v>593</v>
      </c>
      <c r="J39" s="1672"/>
      <c r="K39" s="1672"/>
      <c r="L39" s="1672"/>
      <c r="M39" s="1672"/>
      <c r="N39" s="1672"/>
      <c r="O39" s="1672"/>
      <c r="P39" s="1672"/>
      <c r="Q39" s="1672"/>
      <c r="R39" s="1673"/>
      <c r="S39" s="430"/>
      <c r="T39" s="507"/>
      <c r="U39" s="507">
        <f>F39</f>
        <v>5000000</v>
      </c>
      <c r="V39" s="430"/>
      <c r="W39" s="430"/>
    </row>
    <row r="40" spans="1:23" ht="30.75" customHeight="1" x14ac:dyDescent="0.15">
      <c r="A40" s="426"/>
      <c r="B40" s="212"/>
      <c r="C40" s="435" t="s">
        <v>460</v>
      </c>
      <c r="D40" s="196" t="s">
        <v>258</v>
      </c>
      <c r="E40" s="339">
        <v>40514970</v>
      </c>
      <c r="F40" s="339">
        <f>SUM(F41:F42)</f>
        <v>41766980</v>
      </c>
      <c r="G40" s="243">
        <f t="shared" si="1"/>
        <v>1252010</v>
      </c>
      <c r="H40" s="509">
        <f t="shared" si="0"/>
        <v>3.0902404716083955</v>
      </c>
      <c r="I40" s="1672" t="s">
        <v>594</v>
      </c>
      <c r="J40" s="1672"/>
      <c r="K40" s="1672"/>
      <c r="L40" s="1672"/>
      <c r="M40" s="1672"/>
      <c r="N40" s="1672"/>
      <c r="O40" s="1672"/>
      <c r="P40" s="1672"/>
      <c r="Q40" s="1672"/>
      <c r="R40" s="1673"/>
      <c r="S40" s="430"/>
      <c r="T40" s="507"/>
      <c r="U40" s="507">
        <f>F40</f>
        <v>41766980</v>
      </c>
      <c r="V40" s="430"/>
      <c r="W40" s="430"/>
    </row>
    <row r="41" spans="1:23" ht="28.5" customHeight="1" x14ac:dyDescent="0.15">
      <c r="A41" s="426"/>
      <c r="B41" s="212"/>
      <c r="C41" s="196"/>
      <c r="D41" s="435" t="s">
        <v>460</v>
      </c>
      <c r="E41" s="339">
        <v>22514970</v>
      </c>
      <c r="F41" s="339">
        <f>23266980+500000</f>
        <v>23766980</v>
      </c>
      <c r="G41" s="243">
        <f t="shared" si="1"/>
        <v>1252010</v>
      </c>
      <c r="H41" s="509">
        <f t="shared" si="0"/>
        <v>5.5607891105340137</v>
      </c>
      <c r="I41" s="1514" t="s">
        <v>461</v>
      </c>
      <c r="J41" s="1520"/>
      <c r="K41" s="1520"/>
      <c r="L41" s="1520"/>
      <c r="M41" s="1520"/>
      <c r="N41" s="1520"/>
      <c r="O41" s="1520"/>
      <c r="P41" s="1520"/>
      <c r="Q41" s="1520"/>
      <c r="R41" s="1521"/>
      <c r="S41" s="430"/>
      <c r="T41" s="507"/>
      <c r="U41" s="507"/>
      <c r="V41" s="430"/>
      <c r="W41" s="430"/>
    </row>
    <row r="42" spans="1:23" ht="24" customHeight="1" x14ac:dyDescent="0.15">
      <c r="A42" s="426"/>
      <c r="B42" s="212"/>
      <c r="C42" s="196"/>
      <c r="D42" s="196" t="s">
        <v>541</v>
      </c>
      <c r="E42" s="339">
        <v>18000000</v>
      </c>
      <c r="F42" s="339">
        <v>18000000</v>
      </c>
      <c r="G42" s="243">
        <f t="shared" si="1"/>
        <v>0</v>
      </c>
      <c r="H42" s="509">
        <f>G42/E42*100</f>
        <v>0</v>
      </c>
      <c r="I42" s="1672" t="s">
        <v>595</v>
      </c>
      <c r="J42" s="1672"/>
      <c r="K42" s="1672"/>
      <c r="L42" s="1672"/>
      <c r="M42" s="1672"/>
      <c r="N42" s="1672"/>
      <c r="O42" s="1672"/>
      <c r="P42" s="1672"/>
      <c r="Q42" s="1672"/>
      <c r="R42" s="1673"/>
      <c r="S42" s="430"/>
      <c r="T42" s="507"/>
      <c r="U42" s="507"/>
      <c r="V42" s="430"/>
      <c r="W42" s="430"/>
    </row>
    <row r="43" spans="1:23" ht="24" customHeight="1" x14ac:dyDescent="0.15">
      <c r="A43" s="426"/>
      <c r="B43" s="212"/>
      <c r="C43" s="230" t="s">
        <v>275</v>
      </c>
      <c r="D43" s="230"/>
      <c r="E43" s="339">
        <v>40000000</v>
      </c>
      <c r="F43" s="339">
        <v>40000000</v>
      </c>
      <c r="G43" s="243">
        <f t="shared" si="1"/>
        <v>0</v>
      </c>
      <c r="H43" s="509">
        <f t="shared" si="0"/>
        <v>0</v>
      </c>
      <c r="I43" s="1672" t="s">
        <v>596</v>
      </c>
      <c r="J43" s="1672"/>
      <c r="K43" s="1672"/>
      <c r="L43" s="1672"/>
      <c r="M43" s="1672"/>
      <c r="N43" s="1672"/>
      <c r="O43" s="1672"/>
      <c r="P43" s="1672"/>
      <c r="Q43" s="1672"/>
      <c r="R43" s="1673"/>
      <c r="S43" s="430"/>
      <c r="T43" s="507">
        <f>F43</f>
        <v>40000000</v>
      </c>
      <c r="U43" s="507"/>
      <c r="V43" s="430"/>
      <c r="W43" s="430"/>
    </row>
    <row r="44" spans="1:23" ht="24" customHeight="1" x14ac:dyDescent="0.15">
      <c r="A44" s="426"/>
      <c r="B44" s="212"/>
      <c r="C44" s="230" t="s">
        <v>276</v>
      </c>
      <c r="D44" s="230"/>
      <c r="E44" s="339">
        <v>5000000</v>
      </c>
      <c r="F44" s="339">
        <v>8000000</v>
      </c>
      <c r="G44" s="243">
        <f t="shared" si="1"/>
        <v>3000000</v>
      </c>
      <c r="H44" s="509">
        <f t="shared" si="0"/>
        <v>60</v>
      </c>
      <c r="I44" s="1672" t="s">
        <v>597</v>
      </c>
      <c r="J44" s="1672"/>
      <c r="K44" s="1672"/>
      <c r="L44" s="1672"/>
      <c r="M44" s="1672"/>
      <c r="N44" s="1672"/>
      <c r="O44" s="1672"/>
      <c r="P44" s="1672"/>
      <c r="Q44" s="1672"/>
      <c r="R44" s="1673"/>
      <c r="S44" s="430"/>
      <c r="T44" s="507">
        <f>F44-U44</f>
        <v>7000000</v>
      </c>
      <c r="U44" s="507">
        <v>1000000</v>
      </c>
      <c r="V44" s="430"/>
      <c r="W44" s="430"/>
    </row>
    <row r="45" spans="1:23" ht="24" customHeight="1" x14ac:dyDescent="0.15">
      <c r="A45" s="426"/>
      <c r="B45" s="212"/>
      <c r="C45" s="230" t="s">
        <v>277</v>
      </c>
      <c r="D45" s="230"/>
      <c r="E45" s="339">
        <v>21000000</v>
      </c>
      <c r="F45" s="339">
        <v>20000000</v>
      </c>
      <c r="G45" s="243">
        <f t="shared" si="1"/>
        <v>-1000000</v>
      </c>
      <c r="H45" s="509">
        <f t="shared" si="0"/>
        <v>-4.7619047619047619</v>
      </c>
      <c r="I45" s="1672" t="s">
        <v>598</v>
      </c>
      <c r="J45" s="1672"/>
      <c r="K45" s="1672"/>
      <c r="L45" s="1672"/>
      <c r="M45" s="1672"/>
      <c r="N45" s="1672"/>
      <c r="O45" s="1672"/>
      <c r="P45" s="1672"/>
      <c r="Q45" s="1672"/>
      <c r="R45" s="1673"/>
      <c r="S45" s="430"/>
      <c r="T45" s="507">
        <f>F45</f>
        <v>20000000</v>
      </c>
      <c r="U45" s="507"/>
      <c r="V45" s="430"/>
      <c r="W45" s="430"/>
    </row>
    <row r="46" spans="1:23" ht="24" customHeight="1" x14ac:dyDescent="0.15">
      <c r="A46" s="451"/>
      <c r="B46" s="214"/>
      <c r="C46" s="230" t="s">
        <v>278</v>
      </c>
      <c r="D46" s="230"/>
      <c r="E46" s="339">
        <v>10000000</v>
      </c>
      <c r="F46" s="339">
        <v>5000000</v>
      </c>
      <c r="G46" s="243">
        <f t="shared" si="1"/>
        <v>-5000000</v>
      </c>
      <c r="H46" s="509">
        <f t="shared" si="0"/>
        <v>-50</v>
      </c>
      <c r="I46" s="1638" t="s">
        <v>599</v>
      </c>
      <c r="J46" s="1639"/>
      <c r="K46" s="1639"/>
      <c r="L46" s="1639"/>
      <c r="M46" s="1639"/>
      <c r="N46" s="1639"/>
      <c r="O46" s="1639"/>
      <c r="P46" s="1639"/>
      <c r="Q46" s="1639"/>
      <c r="R46" s="1640"/>
      <c r="S46" s="430"/>
      <c r="T46" s="507"/>
      <c r="U46" s="507">
        <f>F46</f>
        <v>5000000</v>
      </c>
      <c r="V46" s="430"/>
      <c r="W46" s="430"/>
    </row>
    <row r="47" spans="1:23" ht="26.25" customHeight="1" x14ac:dyDescent="0.15">
      <c r="A47" s="517" t="s">
        <v>600</v>
      </c>
      <c r="B47" s="1698" t="s">
        <v>255</v>
      </c>
      <c r="C47" s="1699"/>
      <c r="D47" s="518"/>
      <c r="E47" s="519">
        <v>150900000</v>
      </c>
      <c r="F47" s="519">
        <f>F48</f>
        <v>165000000</v>
      </c>
      <c r="G47" s="264">
        <f t="shared" si="1"/>
        <v>14100000</v>
      </c>
      <c r="H47" s="506">
        <f t="shared" si="0"/>
        <v>9.3439363817097423</v>
      </c>
      <c r="I47" s="1700"/>
      <c r="J47" s="1700"/>
      <c r="K47" s="1700"/>
      <c r="L47" s="1700"/>
      <c r="M47" s="1700"/>
      <c r="N47" s="1700"/>
      <c r="O47" s="1700"/>
      <c r="P47" s="1700"/>
      <c r="Q47" s="1700"/>
      <c r="R47" s="1701"/>
      <c r="S47" s="430"/>
      <c r="T47" s="507"/>
      <c r="U47" s="507"/>
      <c r="V47" s="430"/>
      <c r="W47" s="430"/>
    </row>
    <row r="48" spans="1:23" ht="20.25" customHeight="1" x14ac:dyDescent="0.15">
      <c r="A48" s="419"/>
      <c r="B48" s="196" t="s">
        <v>280</v>
      </c>
      <c r="C48" s="230" t="s">
        <v>258</v>
      </c>
      <c r="D48" s="230"/>
      <c r="E48" s="339">
        <v>150900000</v>
      </c>
      <c r="F48" s="339">
        <f>SUM(F49:F51)</f>
        <v>165000000</v>
      </c>
      <c r="G48" s="243">
        <f t="shared" si="1"/>
        <v>14100000</v>
      </c>
      <c r="H48" s="509">
        <f t="shared" si="0"/>
        <v>9.3439363817097423</v>
      </c>
      <c r="I48" s="1641"/>
      <c r="J48" s="1642"/>
      <c r="K48" s="1642"/>
      <c r="L48" s="1642"/>
      <c r="M48" s="1642"/>
      <c r="N48" s="1642"/>
      <c r="O48" s="1642"/>
      <c r="P48" s="1642"/>
      <c r="Q48" s="1642"/>
      <c r="R48" s="1643"/>
      <c r="S48" s="430"/>
      <c r="T48" s="507"/>
      <c r="U48" s="507"/>
      <c r="V48" s="430"/>
      <c r="W48" s="430"/>
    </row>
    <row r="49" spans="1:23" ht="20.25" customHeight="1" x14ac:dyDescent="0.15">
      <c r="A49" s="426"/>
      <c r="B49" s="210"/>
      <c r="C49" s="230" t="s">
        <v>280</v>
      </c>
      <c r="D49" s="230"/>
      <c r="E49" s="339">
        <v>10000000</v>
      </c>
      <c r="F49" s="339"/>
      <c r="G49" s="243">
        <f t="shared" si="1"/>
        <v>-10000000</v>
      </c>
      <c r="H49" s="520">
        <v>100</v>
      </c>
      <c r="I49" s="1672"/>
      <c r="J49" s="1672"/>
      <c r="K49" s="1672"/>
      <c r="L49" s="1672"/>
      <c r="M49" s="1672"/>
      <c r="N49" s="1672"/>
      <c r="O49" s="1672"/>
      <c r="P49" s="1672"/>
      <c r="Q49" s="1672"/>
      <c r="R49" s="1673"/>
      <c r="S49" s="430"/>
      <c r="T49" s="507"/>
      <c r="U49" s="507">
        <f>F49</f>
        <v>0</v>
      </c>
      <c r="V49" s="430"/>
      <c r="W49" s="430"/>
    </row>
    <row r="50" spans="1:23" ht="39.75" customHeight="1" x14ac:dyDescent="0.15">
      <c r="A50" s="426"/>
      <c r="B50" s="212"/>
      <c r="C50" s="230" t="s">
        <v>281</v>
      </c>
      <c r="D50" s="230"/>
      <c r="E50" s="339">
        <v>60900000</v>
      </c>
      <c r="F50" s="339">
        <v>60000000</v>
      </c>
      <c r="G50" s="243">
        <f t="shared" si="1"/>
        <v>-900000</v>
      </c>
      <c r="H50" s="509">
        <f t="shared" si="0"/>
        <v>-1.4778325123152709</v>
      </c>
      <c r="I50" s="1619" t="s">
        <v>601</v>
      </c>
      <c r="J50" s="1620"/>
      <c r="K50" s="1620"/>
      <c r="L50" s="1620"/>
      <c r="M50" s="1620"/>
      <c r="N50" s="1620"/>
      <c r="O50" s="1620"/>
      <c r="P50" s="1620"/>
      <c r="Q50" s="1620"/>
      <c r="R50" s="1621"/>
      <c r="S50" s="430"/>
      <c r="T50" s="507">
        <v>12400000</v>
      </c>
      <c r="U50" s="507">
        <f>F50-T50</f>
        <v>47600000</v>
      </c>
      <c r="V50" s="430"/>
      <c r="W50" s="430"/>
    </row>
    <row r="51" spans="1:23" ht="25.5" customHeight="1" x14ac:dyDescent="0.15">
      <c r="A51" s="451"/>
      <c r="B51" s="214"/>
      <c r="C51" s="230" t="s">
        <v>547</v>
      </c>
      <c r="D51" s="230"/>
      <c r="E51" s="339">
        <v>80000000</v>
      </c>
      <c r="F51" s="339">
        <v>105000000</v>
      </c>
      <c r="G51" s="243">
        <f t="shared" si="1"/>
        <v>25000000</v>
      </c>
      <c r="H51" s="509">
        <f>G51/E51*100</f>
        <v>31.25</v>
      </c>
      <c r="I51" s="1672" t="s">
        <v>602</v>
      </c>
      <c r="J51" s="1672"/>
      <c r="K51" s="1672"/>
      <c r="L51" s="1672"/>
      <c r="M51" s="1672"/>
      <c r="N51" s="1672"/>
      <c r="O51" s="1672"/>
      <c r="P51" s="1672"/>
      <c r="Q51" s="1672"/>
      <c r="R51" s="1673"/>
      <c r="S51" s="430"/>
      <c r="T51" s="507">
        <f>F51</f>
        <v>105000000</v>
      </c>
      <c r="U51" s="507"/>
      <c r="V51" s="430"/>
      <c r="W51" s="430"/>
    </row>
    <row r="52" spans="1:23" ht="21" customHeight="1" x14ac:dyDescent="0.15">
      <c r="A52" s="521" t="s">
        <v>283</v>
      </c>
      <c r="B52" s="1679" t="s">
        <v>255</v>
      </c>
      <c r="C52" s="1680"/>
      <c r="D52" s="522"/>
      <c r="E52" s="523">
        <v>56780000</v>
      </c>
      <c r="F52" s="523">
        <f>SUM(F53,F76,F87)</f>
        <v>47000000</v>
      </c>
      <c r="G52" s="524">
        <f t="shared" si="1"/>
        <v>-9780000</v>
      </c>
      <c r="H52" s="506">
        <f t="shared" si="0"/>
        <v>-17.224374779852063</v>
      </c>
      <c r="I52" s="1695"/>
      <c r="J52" s="1696"/>
      <c r="K52" s="1696"/>
      <c r="L52" s="1696"/>
      <c r="M52" s="1696"/>
      <c r="N52" s="1696"/>
      <c r="O52" s="1696"/>
      <c r="P52" s="1696"/>
      <c r="Q52" s="1696"/>
      <c r="R52" s="1697"/>
      <c r="S52" s="430"/>
      <c r="T52" s="507">
        <f>F52</f>
        <v>47000000</v>
      </c>
      <c r="U52" s="507"/>
      <c r="V52" s="430"/>
      <c r="W52" s="430"/>
    </row>
    <row r="53" spans="1:23" ht="24.75" customHeight="1" x14ac:dyDescent="0.15">
      <c r="A53" s="419"/>
      <c r="B53" s="214" t="s">
        <v>270</v>
      </c>
      <c r="C53" s="214" t="s">
        <v>258</v>
      </c>
      <c r="D53" s="214"/>
      <c r="E53" s="463">
        <v>12000000</v>
      </c>
      <c r="F53" s="463">
        <f>SUM(F54,F55,F59)</f>
        <v>11000000</v>
      </c>
      <c r="G53" s="243">
        <f t="shared" si="1"/>
        <v>-1000000</v>
      </c>
      <c r="H53" s="509">
        <f t="shared" si="0"/>
        <v>-8.3333333333333321</v>
      </c>
      <c r="I53" s="1670"/>
      <c r="J53" s="1670"/>
      <c r="K53" s="1670"/>
      <c r="L53" s="1670"/>
      <c r="M53" s="1670"/>
      <c r="N53" s="1670"/>
      <c r="O53" s="1670"/>
      <c r="P53" s="1670"/>
      <c r="Q53" s="1670"/>
      <c r="R53" s="1671"/>
      <c r="S53" s="430"/>
      <c r="T53" s="507"/>
      <c r="U53" s="507"/>
      <c r="V53" s="430"/>
      <c r="W53" s="430"/>
    </row>
    <row r="54" spans="1:23" ht="21" customHeight="1" x14ac:dyDescent="0.15">
      <c r="A54" s="426"/>
      <c r="B54" s="514"/>
      <c r="C54" s="196" t="s">
        <v>286</v>
      </c>
      <c r="D54" s="196"/>
      <c r="E54" s="339">
        <v>5000000</v>
      </c>
      <c r="F54" s="339">
        <v>5000000</v>
      </c>
      <c r="G54" s="243">
        <f t="shared" si="1"/>
        <v>0</v>
      </c>
      <c r="H54" s="509">
        <f t="shared" si="0"/>
        <v>0</v>
      </c>
      <c r="I54" s="1672"/>
      <c r="J54" s="1672"/>
      <c r="K54" s="1672"/>
      <c r="L54" s="1672"/>
      <c r="M54" s="1672"/>
      <c r="N54" s="1672"/>
      <c r="O54" s="1672"/>
      <c r="P54" s="1672"/>
      <c r="Q54" s="1672"/>
      <c r="R54" s="1673"/>
      <c r="S54" s="430"/>
      <c r="T54" s="507"/>
      <c r="U54" s="507"/>
      <c r="V54" s="430"/>
      <c r="W54" s="430"/>
    </row>
    <row r="55" spans="1:23" ht="25.5" customHeight="1" x14ac:dyDescent="0.15">
      <c r="A55" s="426"/>
      <c r="B55" s="212"/>
      <c r="C55" s="196" t="s">
        <v>475</v>
      </c>
      <c r="D55" s="196" t="s">
        <v>258</v>
      </c>
      <c r="E55" s="339">
        <v>6000000</v>
      </c>
      <c r="F55" s="339">
        <f>SUM(F56:F57)</f>
        <v>5000000</v>
      </c>
      <c r="G55" s="243">
        <f t="shared" si="1"/>
        <v>-1000000</v>
      </c>
      <c r="H55" s="509">
        <f t="shared" si="0"/>
        <v>-16.666666666666664</v>
      </c>
      <c r="I55" s="1672"/>
      <c r="J55" s="1672"/>
      <c r="K55" s="1672"/>
      <c r="L55" s="1672"/>
      <c r="M55" s="1672"/>
      <c r="N55" s="1672"/>
      <c r="O55" s="1672"/>
      <c r="P55" s="1672"/>
      <c r="Q55" s="1672"/>
      <c r="R55" s="1673"/>
      <c r="S55" s="430"/>
      <c r="T55" s="507"/>
      <c r="U55" s="507"/>
      <c r="V55" s="430"/>
      <c r="W55" s="430"/>
    </row>
    <row r="56" spans="1:23" ht="22.5" customHeight="1" x14ac:dyDescent="0.15">
      <c r="A56" s="426"/>
      <c r="B56" s="212"/>
      <c r="C56" s="196"/>
      <c r="D56" s="230" t="s">
        <v>603</v>
      </c>
      <c r="E56" s="339">
        <v>3000000</v>
      </c>
      <c r="F56" s="339">
        <v>2000000</v>
      </c>
      <c r="G56" s="243">
        <f t="shared" si="1"/>
        <v>-1000000</v>
      </c>
      <c r="H56" s="509">
        <f t="shared" si="0"/>
        <v>-33.333333333333329</v>
      </c>
      <c r="I56" s="1641"/>
      <c r="J56" s="1642"/>
      <c r="K56" s="1642"/>
      <c r="L56" s="1642"/>
      <c r="M56" s="1642"/>
      <c r="N56" s="1642"/>
      <c r="O56" s="1642"/>
      <c r="P56" s="1642"/>
      <c r="Q56" s="1642"/>
      <c r="R56" s="1643"/>
      <c r="S56" s="430"/>
      <c r="T56" s="507"/>
      <c r="U56" s="507"/>
      <c r="V56" s="430"/>
      <c r="W56" s="430"/>
    </row>
    <row r="57" spans="1:23" ht="19.5" customHeight="1" x14ac:dyDescent="0.15">
      <c r="A57" s="426"/>
      <c r="B57" s="212"/>
      <c r="C57" s="196"/>
      <c r="D57" s="196" t="s">
        <v>476</v>
      </c>
      <c r="E57" s="339">
        <v>3000000</v>
      </c>
      <c r="F57" s="339">
        <v>3000000</v>
      </c>
      <c r="G57" s="243">
        <f t="shared" si="1"/>
        <v>0</v>
      </c>
      <c r="H57" s="509">
        <f t="shared" si="0"/>
        <v>0</v>
      </c>
      <c r="I57" s="1672"/>
      <c r="J57" s="1672"/>
      <c r="K57" s="1672"/>
      <c r="L57" s="1672"/>
      <c r="M57" s="1672"/>
      <c r="N57" s="1672"/>
      <c r="O57" s="1672"/>
      <c r="P57" s="1672"/>
      <c r="Q57" s="1672"/>
      <c r="R57" s="1673"/>
      <c r="S57" s="430"/>
      <c r="T57" s="507"/>
      <c r="U57" s="507"/>
      <c r="V57" s="430"/>
      <c r="W57" s="430"/>
    </row>
    <row r="58" spans="1:23" ht="15.75" hidden="1" customHeight="1" x14ac:dyDescent="0.15">
      <c r="A58" s="426"/>
      <c r="B58" s="212"/>
      <c r="C58" s="196" t="s">
        <v>288</v>
      </c>
      <c r="D58" s="196"/>
      <c r="E58" s="339">
        <v>0</v>
      </c>
      <c r="F58" s="339">
        <v>0</v>
      </c>
      <c r="G58" s="243">
        <f t="shared" si="1"/>
        <v>0</v>
      </c>
      <c r="H58" s="509" t="e">
        <f t="shared" si="0"/>
        <v>#DIV/0!</v>
      </c>
      <c r="I58" s="1672"/>
      <c r="J58" s="1672"/>
      <c r="K58" s="1672"/>
      <c r="L58" s="1672"/>
      <c r="M58" s="1672"/>
      <c r="N58" s="1672"/>
      <c r="O58" s="1672"/>
      <c r="P58" s="1672"/>
      <c r="Q58" s="1672"/>
      <c r="R58" s="1673"/>
      <c r="S58" s="430"/>
      <c r="T58" s="507"/>
      <c r="U58" s="507"/>
      <c r="V58" s="430"/>
      <c r="W58" s="430"/>
    </row>
    <row r="59" spans="1:23" ht="25.5" customHeight="1" x14ac:dyDescent="0.15">
      <c r="A59" s="455"/>
      <c r="B59" s="456"/>
      <c r="C59" s="311" t="s">
        <v>290</v>
      </c>
      <c r="D59" s="311"/>
      <c r="E59" s="359">
        <v>1000000</v>
      </c>
      <c r="F59" s="359">
        <v>1000000</v>
      </c>
      <c r="G59" s="244">
        <f t="shared" si="1"/>
        <v>0</v>
      </c>
      <c r="H59" s="525">
        <f t="shared" si="0"/>
        <v>0</v>
      </c>
      <c r="I59" s="1693"/>
      <c r="J59" s="1693"/>
      <c r="K59" s="1693"/>
      <c r="L59" s="1693"/>
      <c r="M59" s="1693"/>
      <c r="N59" s="1693"/>
      <c r="O59" s="1693"/>
      <c r="P59" s="1693"/>
      <c r="Q59" s="1693"/>
      <c r="R59" s="1694"/>
      <c r="S59" s="430"/>
      <c r="T59" s="507"/>
      <c r="U59" s="507"/>
      <c r="V59" s="430"/>
      <c r="W59" s="430"/>
    </row>
    <row r="60" spans="1:23" ht="15.75" hidden="1" customHeight="1" x14ac:dyDescent="0.15">
      <c r="A60" s="426"/>
      <c r="B60" s="212"/>
      <c r="C60" s="214" t="s">
        <v>604</v>
      </c>
      <c r="D60" s="214"/>
      <c r="E60" s="347">
        <v>0</v>
      </c>
      <c r="F60" s="347">
        <v>0</v>
      </c>
      <c r="G60" s="461">
        <f t="shared" si="1"/>
        <v>0</v>
      </c>
      <c r="H60" s="526" t="e">
        <f t="shared" si="0"/>
        <v>#DIV/0!</v>
      </c>
      <c r="I60" s="1670"/>
      <c r="J60" s="1670"/>
      <c r="K60" s="1670"/>
      <c r="L60" s="1670"/>
      <c r="M60" s="1670"/>
      <c r="N60" s="1670"/>
      <c r="O60" s="1670"/>
      <c r="P60" s="1670"/>
      <c r="Q60" s="1670"/>
      <c r="R60" s="1671"/>
      <c r="S60" s="430"/>
      <c r="T60" s="507"/>
      <c r="U60" s="507"/>
      <c r="V60" s="430"/>
      <c r="W60" s="430"/>
    </row>
    <row r="61" spans="1:23" ht="15.75" hidden="1" customHeight="1" x14ac:dyDescent="0.15">
      <c r="A61" s="426"/>
      <c r="B61" s="212"/>
      <c r="C61" s="196" t="s">
        <v>553</v>
      </c>
      <c r="D61" s="196"/>
      <c r="E61" s="339">
        <v>0</v>
      </c>
      <c r="F61" s="339">
        <v>0</v>
      </c>
      <c r="G61" s="243">
        <f t="shared" si="1"/>
        <v>0</v>
      </c>
      <c r="H61" s="509" t="e">
        <f t="shared" si="0"/>
        <v>#DIV/0!</v>
      </c>
      <c r="I61" s="1641"/>
      <c r="J61" s="1642"/>
      <c r="K61" s="1642"/>
      <c r="L61" s="1642"/>
      <c r="M61" s="1642"/>
      <c r="N61" s="1642"/>
      <c r="O61" s="1642"/>
      <c r="P61" s="1642"/>
      <c r="Q61" s="1642"/>
      <c r="R61" s="1643"/>
      <c r="S61" s="430"/>
      <c r="T61" s="507"/>
      <c r="U61" s="507"/>
      <c r="V61" s="430"/>
      <c r="W61" s="430"/>
    </row>
    <row r="62" spans="1:23" ht="15.75" hidden="1" customHeight="1" x14ac:dyDescent="0.15">
      <c r="A62" s="426"/>
      <c r="B62" s="212"/>
      <c r="C62" s="196" t="s">
        <v>554</v>
      </c>
      <c r="D62" s="196"/>
      <c r="E62" s="339">
        <v>0</v>
      </c>
      <c r="F62" s="339">
        <v>0</v>
      </c>
      <c r="G62" s="243">
        <f t="shared" si="1"/>
        <v>0</v>
      </c>
      <c r="H62" s="509" t="e">
        <f t="shared" si="0"/>
        <v>#DIV/0!</v>
      </c>
      <c r="I62" s="1641"/>
      <c r="J62" s="1642"/>
      <c r="K62" s="1642"/>
      <c r="L62" s="1642"/>
      <c r="M62" s="1642"/>
      <c r="N62" s="1642"/>
      <c r="O62" s="1642"/>
      <c r="P62" s="1642"/>
      <c r="Q62" s="1642"/>
      <c r="R62" s="1643"/>
      <c r="S62" s="430"/>
      <c r="T62" s="507"/>
      <c r="U62" s="507"/>
      <c r="V62" s="430"/>
      <c r="W62" s="430"/>
    </row>
    <row r="63" spans="1:23" ht="15.75" hidden="1" customHeight="1" x14ac:dyDescent="0.15">
      <c r="A63" s="426"/>
      <c r="B63" s="212"/>
      <c r="C63" s="196" t="s">
        <v>555</v>
      </c>
      <c r="D63" s="196"/>
      <c r="E63" s="339">
        <v>0</v>
      </c>
      <c r="F63" s="339">
        <v>0</v>
      </c>
      <c r="G63" s="243">
        <f t="shared" si="1"/>
        <v>0</v>
      </c>
      <c r="H63" s="509" t="e">
        <f t="shared" si="0"/>
        <v>#DIV/0!</v>
      </c>
      <c r="I63" s="1672"/>
      <c r="J63" s="1672"/>
      <c r="K63" s="1672"/>
      <c r="L63" s="1672"/>
      <c r="M63" s="1672"/>
      <c r="N63" s="1672"/>
      <c r="O63" s="1672"/>
      <c r="P63" s="1672"/>
      <c r="Q63" s="1672"/>
      <c r="R63" s="1673"/>
      <c r="S63" s="430"/>
      <c r="T63" s="507"/>
      <c r="U63" s="507"/>
      <c r="V63" s="430"/>
      <c r="W63" s="430"/>
    </row>
    <row r="64" spans="1:23" ht="15.75" hidden="1" customHeight="1" x14ac:dyDescent="0.15">
      <c r="A64" s="426"/>
      <c r="B64" s="214"/>
      <c r="C64" s="196" t="s">
        <v>291</v>
      </c>
      <c r="D64" s="196"/>
      <c r="E64" s="339">
        <v>0</v>
      </c>
      <c r="F64" s="339">
        <v>0</v>
      </c>
      <c r="G64" s="243">
        <f t="shared" si="1"/>
        <v>0</v>
      </c>
      <c r="H64" s="509" t="e">
        <f t="shared" si="0"/>
        <v>#DIV/0!</v>
      </c>
      <c r="I64" s="1638"/>
      <c r="J64" s="1639"/>
      <c r="K64" s="1639"/>
      <c r="L64" s="1639"/>
      <c r="M64" s="1639"/>
      <c r="N64" s="1639"/>
      <c r="O64" s="1639"/>
      <c r="P64" s="1639"/>
      <c r="Q64" s="1639"/>
      <c r="R64" s="1640"/>
      <c r="S64" s="430"/>
      <c r="T64" s="507"/>
      <c r="U64" s="507"/>
      <c r="V64" s="430"/>
      <c r="W64" s="430"/>
    </row>
    <row r="65" spans="1:23" s="22" customFormat="1" ht="15.75" hidden="1" customHeight="1" x14ac:dyDescent="0.15">
      <c r="A65" s="426"/>
      <c r="B65" s="230" t="s">
        <v>556</v>
      </c>
      <c r="C65" s="196" t="s">
        <v>258</v>
      </c>
      <c r="D65" s="196"/>
      <c r="E65" s="339">
        <v>0</v>
      </c>
      <c r="F65" s="339">
        <f>SUM(F66:F75)</f>
        <v>0</v>
      </c>
      <c r="G65" s="243">
        <f t="shared" si="1"/>
        <v>0</v>
      </c>
      <c r="H65" s="509" t="e">
        <f t="shared" si="0"/>
        <v>#DIV/0!</v>
      </c>
      <c r="I65" s="1684"/>
      <c r="J65" s="1677"/>
      <c r="K65" s="1677"/>
      <c r="L65" s="1677"/>
      <c r="M65" s="1677"/>
      <c r="N65" s="1677"/>
      <c r="O65" s="1677"/>
      <c r="P65" s="1677"/>
      <c r="Q65" s="1677"/>
      <c r="R65" s="1678"/>
      <c r="S65" s="376"/>
      <c r="T65" s="527"/>
      <c r="U65" s="527"/>
      <c r="V65" s="376"/>
      <c r="W65" s="376"/>
    </row>
    <row r="66" spans="1:23" s="22" customFormat="1" ht="15.75" hidden="1" customHeight="1" x14ac:dyDescent="0.15">
      <c r="A66" s="426"/>
      <c r="B66" s="510"/>
      <c r="C66" s="196" t="s">
        <v>557</v>
      </c>
      <c r="D66" s="196"/>
      <c r="E66" s="339">
        <v>0</v>
      </c>
      <c r="F66" s="339">
        <v>0</v>
      </c>
      <c r="G66" s="243">
        <f t="shared" si="1"/>
        <v>0</v>
      </c>
      <c r="H66" s="509" t="e">
        <f t="shared" si="0"/>
        <v>#DIV/0!</v>
      </c>
      <c r="I66" s="1684"/>
      <c r="J66" s="1677"/>
      <c r="K66" s="1677"/>
      <c r="L66" s="1677"/>
      <c r="M66" s="1677"/>
      <c r="N66" s="1677"/>
      <c r="O66" s="1677"/>
      <c r="P66" s="1677"/>
      <c r="Q66" s="1677"/>
      <c r="R66" s="1678"/>
      <c r="S66" s="376"/>
      <c r="T66" s="527"/>
      <c r="U66" s="527"/>
      <c r="V66" s="376"/>
      <c r="W66" s="376"/>
    </row>
    <row r="67" spans="1:23" s="22" customFormat="1" ht="15.75" hidden="1" customHeight="1" x14ac:dyDescent="0.15">
      <c r="A67" s="426"/>
      <c r="B67" s="510"/>
      <c r="C67" s="196" t="s">
        <v>558</v>
      </c>
      <c r="D67" s="196"/>
      <c r="E67" s="339">
        <v>0</v>
      </c>
      <c r="F67" s="339">
        <v>0</v>
      </c>
      <c r="G67" s="243">
        <f t="shared" si="1"/>
        <v>0</v>
      </c>
      <c r="H67" s="509" t="e">
        <f t="shared" si="0"/>
        <v>#DIV/0!</v>
      </c>
      <c r="I67" s="1684"/>
      <c r="J67" s="1677"/>
      <c r="K67" s="1677"/>
      <c r="L67" s="1677"/>
      <c r="M67" s="1677"/>
      <c r="N67" s="1677"/>
      <c r="O67" s="1677"/>
      <c r="P67" s="1677"/>
      <c r="Q67" s="1677"/>
      <c r="R67" s="1678"/>
      <c r="S67" s="376"/>
      <c r="T67" s="527"/>
      <c r="U67" s="527"/>
      <c r="V67" s="376"/>
      <c r="W67" s="376"/>
    </row>
    <row r="68" spans="1:23" s="22" customFormat="1" ht="15.75" hidden="1" customHeight="1" x14ac:dyDescent="0.15">
      <c r="A68" s="426"/>
      <c r="B68" s="212"/>
      <c r="C68" s="196" t="s">
        <v>559</v>
      </c>
      <c r="D68" s="196"/>
      <c r="E68" s="339">
        <v>0</v>
      </c>
      <c r="F68" s="339">
        <v>0</v>
      </c>
      <c r="G68" s="243">
        <f t="shared" si="1"/>
        <v>0</v>
      </c>
      <c r="H68" s="509" t="e">
        <f t="shared" si="0"/>
        <v>#DIV/0!</v>
      </c>
      <c r="I68" s="1684"/>
      <c r="J68" s="1677"/>
      <c r="K68" s="1677"/>
      <c r="L68" s="1677"/>
      <c r="M68" s="1677"/>
      <c r="N68" s="1677"/>
      <c r="O68" s="1677"/>
      <c r="P68" s="1677"/>
      <c r="Q68" s="1677"/>
      <c r="R68" s="1678"/>
      <c r="S68" s="376"/>
      <c r="T68" s="527"/>
      <c r="U68" s="527"/>
      <c r="V68" s="376"/>
      <c r="W68" s="376"/>
    </row>
    <row r="69" spans="1:23" s="22" customFormat="1" ht="15.75" hidden="1" customHeight="1" x14ac:dyDescent="0.15">
      <c r="A69" s="426"/>
      <c r="B69" s="212"/>
      <c r="C69" s="196" t="s">
        <v>560</v>
      </c>
      <c r="D69" s="298"/>
      <c r="E69" s="339">
        <v>0</v>
      </c>
      <c r="F69" s="339">
        <v>0</v>
      </c>
      <c r="G69" s="243">
        <f t="shared" si="1"/>
        <v>0</v>
      </c>
      <c r="H69" s="509" t="e">
        <f t="shared" si="0"/>
        <v>#DIV/0!</v>
      </c>
      <c r="I69" s="1684"/>
      <c r="J69" s="1677"/>
      <c r="K69" s="1677"/>
      <c r="L69" s="1677"/>
      <c r="M69" s="1677"/>
      <c r="N69" s="1677"/>
      <c r="O69" s="1677"/>
      <c r="P69" s="1677"/>
      <c r="Q69" s="1677"/>
      <c r="R69" s="1678"/>
      <c r="S69" s="376"/>
      <c r="T69" s="527"/>
      <c r="U69" s="527"/>
      <c r="V69" s="376"/>
      <c r="W69" s="376"/>
    </row>
    <row r="70" spans="1:23" s="22" customFormat="1" ht="15.75" hidden="1" customHeight="1" x14ac:dyDescent="0.15">
      <c r="A70" s="426"/>
      <c r="B70" s="212"/>
      <c r="C70" s="196" t="s">
        <v>561</v>
      </c>
      <c r="D70" s="196"/>
      <c r="E70" s="339">
        <v>0</v>
      </c>
      <c r="F70" s="339">
        <v>0</v>
      </c>
      <c r="G70" s="243">
        <f t="shared" si="1"/>
        <v>0</v>
      </c>
      <c r="H70" s="509" t="e">
        <f t="shared" si="0"/>
        <v>#DIV/0!</v>
      </c>
      <c r="I70" s="1684"/>
      <c r="J70" s="1677"/>
      <c r="K70" s="1677"/>
      <c r="L70" s="1677"/>
      <c r="M70" s="1677"/>
      <c r="N70" s="1677"/>
      <c r="O70" s="1677"/>
      <c r="P70" s="1677"/>
      <c r="Q70" s="1677"/>
      <c r="R70" s="1678"/>
      <c r="S70" s="376"/>
      <c r="T70" s="527"/>
      <c r="U70" s="527"/>
      <c r="V70" s="376"/>
      <c r="W70" s="376"/>
    </row>
    <row r="71" spans="1:23" s="22" customFormat="1" ht="15.75" hidden="1" customHeight="1" x14ac:dyDescent="0.15">
      <c r="A71" s="426"/>
      <c r="B71" s="212"/>
      <c r="C71" s="196" t="s">
        <v>562</v>
      </c>
      <c r="D71" s="196"/>
      <c r="E71" s="339">
        <v>0</v>
      </c>
      <c r="F71" s="339">
        <v>0</v>
      </c>
      <c r="G71" s="243">
        <f t="shared" si="1"/>
        <v>0</v>
      </c>
      <c r="H71" s="509" t="e">
        <f t="shared" si="0"/>
        <v>#DIV/0!</v>
      </c>
      <c r="I71" s="1684"/>
      <c r="J71" s="1677"/>
      <c r="K71" s="1677"/>
      <c r="L71" s="1677"/>
      <c r="M71" s="1677"/>
      <c r="N71" s="1677"/>
      <c r="O71" s="1677"/>
      <c r="P71" s="1677"/>
      <c r="Q71" s="1677"/>
      <c r="R71" s="1678"/>
      <c r="S71" s="376"/>
      <c r="T71" s="527"/>
      <c r="U71" s="527"/>
      <c r="V71" s="376"/>
      <c r="W71" s="376"/>
    </row>
    <row r="72" spans="1:23" s="22" customFormat="1" ht="15.75" hidden="1" customHeight="1" x14ac:dyDescent="0.15">
      <c r="A72" s="426"/>
      <c r="B72" s="212"/>
      <c r="C72" s="196" t="s">
        <v>563</v>
      </c>
      <c r="D72" s="196"/>
      <c r="E72" s="339">
        <v>0</v>
      </c>
      <c r="F72" s="339">
        <v>0</v>
      </c>
      <c r="G72" s="243">
        <f t="shared" si="1"/>
        <v>0</v>
      </c>
      <c r="H72" s="509" t="e">
        <f t="shared" ref="H72:H97" si="2">G72/E72*100</f>
        <v>#DIV/0!</v>
      </c>
      <c r="I72" s="1684"/>
      <c r="J72" s="1677"/>
      <c r="K72" s="1677"/>
      <c r="L72" s="1677"/>
      <c r="M72" s="1677"/>
      <c r="N72" s="1677"/>
      <c r="O72" s="1677"/>
      <c r="P72" s="1677"/>
      <c r="Q72" s="1677"/>
      <c r="R72" s="1678"/>
      <c r="S72" s="376"/>
      <c r="T72" s="527"/>
      <c r="U72" s="527"/>
      <c r="V72" s="376"/>
      <c r="W72" s="376"/>
    </row>
    <row r="73" spans="1:23" s="22" customFormat="1" ht="15.75" hidden="1" customHeight="1" x14ac:dyDescent="0.15">
      <c r="A73" s="426"/>
      <c r="B73" s="212"/>
      <c r="C73" s="196" t="s">
        <v>564</v>
      </c>
      <c r="D73" s="196"/>
      <c r="E73" s="339">
        <v>0</v>
      </c>
      <c r="F73" s="339">
        <v>0</v>
      </c>
      <c r="G73" s="243">
        <f t="shared" ref="G73:G97" si="3">F73-E73</f>
        <v>0</v>
      </c>
      <c r="H73" s="509" t="e">
        <f t="shared" si="2"/>
        <v>#DIV/0!</v>
      </c>
      <c r="I73" s="1684"/>
      <c r="J73" s="1677"/>
      <c r="K73" s="1677"/>
      <c r="L73" s="1677"/>
      <c r="M73" s="1677"/>
      <c r="N73" s="1677"/>
      <c r="O73" s="1677"/>
      <c r="P73" s="1677"/>
      <c r="Q73" s="1677"/>
      <c r="R73" s="1678"/>
      <c r="S73" s="376"/>
      <c r="T73" s="527"/>
      <c r="U73" s="527"/>
      <c r="V73" s="376"/>
      <c r="W73" s="376"/>
    </row>
    <row r="74" spans="1:23" s="22" customFormat="1" ht="15.75" hidden="1" customHeight="1" x14ac:dyDescent="0.15">
      <c r="A74" s="426"/>
      <c r="B74" s="212"/>
      <c r="C74" s="196" t="s">
        <v>565</v>
      </c>
      <c r="D74" s="528"/>
      <c r="E74" s="339">
        <v>0</v>
      </c>
      <c r="F74" s="339">
        <v>0</v>
      </c>
      <c r="G74" s="243">
        <f t="shared" si="3"/>
        <v>0</v>
      </c>
      <c r="H74" s="509" t="e">
        <f t="shared" si="2"/>
        <v>#DIV/0!</v>
      </c>
      <c r="I74" s="1684"/>
      <c r="J74" s="1677"/>
      <c r="K74" s="1677"/>
      <c r="L74" s="1677"/>
      <c r="M74" s="1677"/>
      <c r="N74" s="1677"/>
      <c r="O74" s="1677"/>
      <c r="P74" s="1677"/>
      <c r="Q74" s="1677"/>
      <c r="R74" s="1678"/>
      <c r="S74" s="376"/>
      <c r="T74" s="527"/>
      <c r="U74" s="527"/>
      <c r="V74" s="376"/>
      <c r="W74" s="376"/>
    </row>
    <row r="75" spans="1:23" s="22" customFormat="1" ht="16.5" hidden="1" customHeight="1" x14ac:dyDescent="0.15">
      <c r="A75" s="426"/>
      <c r="B75" s="212"/>
      <c r="C75" s="230" t="s">
        <v>566</v>
      </c>
      <c r="D75" s="230"/>
      <c r="E75" s="339">
        <v>0</v>
      </c>
      <c r="F75" s="339">
        <v>0</v>
      </c>
      <c r="G75" s="243">
        <f t="shared" si="3"/>
        <v>0</v>
      </c>
      <c r="H75" s="509" t="e">
        <f t="shared" si="2"/>
        <v>#DIV/0!</v>
      </c>
      <c r="I75" s="1684"/>
      <c r="J75" s="1677"/>
      <c r="K75" s="1677"/>
      <c r="L75" s="1677"/>
      <c r="M75" s="1677"/>
      <c r="N75" s="1677"/>
      <c r="O75" s="1677"/>
      <c r="P75" s="1677"/>
      <c r="Q75" s="1677"/>
      <c r="R75" s="1678"/>
      <c r="S75" s="376"/>
      <c r="T75" s="527"/>
      <c r="U75" s="527"/>
      <c r="V75" s="376"/>
      <c r="W75" s="376"/>
    </row>
    <row r="76" spans="1:23" s="22" customFormat="1" ht="24.75" customHeight="1" x14ac:dyDescent="0.15">
      <c r="A76" s="426"/>
      <c r="B76" s="196" t="s">
        <v>283</v>
      </c>
      <c r="C76" s="230" t="s">
        <v>258</v>
      </c>
      <c r="D76" s="230"/>
      <c r="E76" s="339">
        <v>43280000</v>
      </c>
      <c r="F76" s="339">
        <f>SUM(F78:F82)</f>
        <v>33000000</v>
      </c>
      <c r="G76" s="243">
        <f>F76-E76</f>
        <v>-10280000</v>
      </c>
      <c r="H76" s="509">
        <f t="shared" si="2"/>
        <v>-23.752310536044362</v>
      </c>
      <c r="I76" s="1641"/>
      <c r="J76" s="1642"/>
      <c r="K76" s="1642"/>
      <c r="L76" s="1642"/>
      <c r="M76" s="1642"/>
      <c r="N76" s="1642"/>
      <c r="O76" s="1642"/>
      <c r="P76" s="1642"/>
      <c r="Q76" s="1642"/>
      <c r="R76" s="1643"/>
      <c r="S76" s="376"/>
      <c r="T76" s="527"/>
      <c r="U76" s="527"/>
      <c r="V76" s="376"/>
      <c r="W76" s="376"/>
    </row>
    <row r="77" spans="1:23" s="22" customFormat="1" ht="24.75" hidden="1" customHeight="1" x14ac:dyDescent="0.15">
      <c r="A77" s="426"/>
      <c r="B77" s="529"/>
      <c r="C77" s="230" t="s">
        <v>567</v>
      </c>
      <c r="D77" s="230"/>
      <c r="E77" s="339">
        <v>0</v>
      </c>
      <c r="F77" s="339">
        <v>0</v>
      </c>
      <c r="G77" s="243">
        <f t="shared" si="3"/>
        <v>0</v>
      </c>
      <c r="H77" s="509" t="e">
        <f t="shared" si="2"/>
        <v>#DIV/0!</v>
      </c>
      <c r="I77" s="1687"/>
      <c r="J77" s="1688"/>
      <c r="K77" s="1688"/>
      <c r="L77" s="1688"/>
      <c r="M77" s="1688"/>
      <c r="N77" s="1688"/>
      <c r="O77" s="1688"/>
      <c r="P77" s="1688"/>
      <c r="Q77" s="1688"/>
      <c r="R77" s="1689"/>
      <c r="S77" s="376"/>
      <c r="T77" s="527"/>
      <c r="U77" s="527"/>
      <c r="V77" s="376"/>
      <c r="W77" s="376"/>
    </row>
    <row r="78" spans="1:23" s="22" customFormat="1" ht="24.75" customHeight="1" x14ac:dyDescent="0.15">
      <c r="A78" s="426"/>
      <c r="B78" s="212"/>
      <c r="C78" s="230" t="s">
        <v>480</v>
      </c>
      <c r="D78" s="230"/>
      <c r="E78" s="339">
        <v>40000000</v>
      </c>
      <c r="F78" s="339">
        <v>30000000</v>
      </c>
      <c r="G78" s="243">
        <f t="shared" si="3"/>
        <v>-10000000</v>
      </c>
      <c r="H78" s="509">
        <f t="shared" si="2"/>
        <v>-25</v>
      </c>
      <c r="I78" s="1690" t="s">
        <v>568</v>
      </c>
      <c r="J78" s="1691"/>
      <c r="K78" s="1691"/>
      <c r="L78" s="1691"/>
      <c r="M78" s="1691"/>
      <c r="N78" s="1691"/>
      <c r="O78" s="1691"/>
      <c r="P78" s="1691"/>
      <c r="Q78" s="1691"/>
      <c r="R78" s="1692"/>
      <c r="S78" s="376"/>
      <c r="T78" s="527"/>
      <c r="U78" s="527"/>
      <c r="V78" s="376"/>
      <c r="W78" s="376"/>
    </row>
    <row r="79" spans="1:23" s="22" customFormat="1" ht="24.75" hidden="1" customHeight="1" x14ac:dyDescent="0.15">
      <c r="A79" s="426"/>
      <c r="B79" s="212"/>
      <c r="C79" s="230" t="s">
        <v>569</v>
      </c>
      <c r="D79" s="530"/>
      <c r="E79" s="339">
        <v>0</v>
      </c>
      <c r="F79" s="339">
        <v>0</v>
      </c>
      <c r="G79" s="243">
        <f t="shared" si="3"/>
        <v>0</v>
      </c>
      <c r="H79" s="509" t="e">
        <f t="shared" si="2"/>
        <v>#DIV/0!</v>
      </c>
      <c r="I79" s="1684" t="s">
        <v>605</v>
      </c>
      <c r="J79" s="1677"/>
      <c r="K79" s="1677"/>
      <c r="L79" s="1677"/>
      <c r="M79" s="1677"/>
      <c r="N79" s="1677"/>
      <c r="O79" s="1677"/>
      <c r="P79" s="1677"/>
      <c r="Q79" s="1677"/>
      <c r="R79" s="1678"/>
      <c r="S79" s="376"/>
      <c r="T79" s="527"/>
      <c r="U79" s="527"/>
      <c r="V79" s="376"/>
      <c r="W79" s="376"/>
    </row>
    <row r="80" spans="1:23" s="22" customFormat="1" ht="24.75" hidden="1" customHeight="1" x14ac:dyDescent="0.15">
      <c r="A80" s="426"/>
      <c r="B80" s="212"/>
      <c r="C80" s="230" t="s">
        <v>571</v>
      </c>
      <c r="D80" s="230"/>
      <c r="E80" s="339">
        <v>0</v>
      </c>
      <c r="F80" s="339">
        <v>0</v>
      </c>
      <c r="G80" s="243">
        <f t="shared" si="3"/>
        <v>0</v>
      </c>
      <c r="H80" s="509" t="e">
        <f t="shared" si="2"/>
        <v>#DIV/0!</v>
      </c>
      <c r="I80" s="1684"/>
      <c r="J80" s="1677"/>
      <c r="K80" s="1677"/>
      <c r="L80" s="1677"/>
      <c r="M80" s="1677"/>
      <c r="N80" s="1677"/>
      <c r="O80" s="1677"/>
      <c r="P80" s="1677"/>
      <c r="Q80" s="1677"/>
      <c r="R80" s="1678"/>
      <c r="S80" s="376"/>
      <c r="T80" s="527"/>
      <c r="U80" s="527"/>
      <c r="V80" s="376"/>
      <c r="W80" s="376"/>
    </row>
    <row r="81" spans="1:23" s="22" customFormat="1" ht="33" customHeight="1" x14ac:dyDescent="0.15">
      <c r="A81" s="426"/>
      <c r="B81" s="214"/>
      <c r="C81" s="230" t="s">
        <v>606</v>
      </c>
      <c r="D81" s="230"/>
      <c r="E81" s="339">
        <v>3280000</v>
      </c>
      <c r="F81" s="339">
        <v>3000000</v>
      </c>
      <c r="G81" s="243">
        <f t="shared" si="3"/>
        <v>-280000</v>
      </c>
      <c r="H81" s="509">
        <f t="shared" si="2"/>
        <v>-8.536585365853659</v>
      </c>
      <c r="I81" s="1551" t="s">
        <v>607</v>
      </c>
      <c r="J81" s="1685"/>
      <c r="K81" s="1685"/>
      <c r="L81" s="1685"/>
      <c r="M81" s="1685"/>
      <c r="N81" s="1685"/>
      <c r="O81" s="1685"/>
      <c r="P81" s="1685"/>
      <c r="Q81" s="1685"/>
      <c r="R81" s="1686"/>
      <c r="S81" s="531"/>
      <c r="T81" s="532"/>
      <c r="U81" s="532"/>
      <c r="V81" s="376"/>
      <c r="W81" s="376"/>
    </row>
    <row r="82" spans="1:23" s="22" customFormat="1" ht="24.75" hidden="1" customHeight="1" x14ac:dyDescent="0.15">
      <c r="A82" s="426"/>
      <c r="B82" s="212"/>
      <c r="C82" s="230"/>
      <c r="D82" s="230"/>
      <c r="E82" s="339"/>
      <c r="F82" s="339"/>
      <c r="G82" s="243">
        <f t="shared" si="3"/>
        <v>0</v>
      </c>
      <c r="H82" s="509" t="e">
        <f t="shared" si="2"/>
        <v>#DIV/0!</v>
      </c>
      <c r="I82" s="1514"/>
      <c r="J82" s="1520"/>
      <c r="K82" s="1520"/>
      <c r="L82" s="1520"/>
      <c r="M82" s="1520"/>
      <c r="N82" s="1520"/>
      <c r="O82" s="1520"/>
      <c r="P82" s="1520"/>
      <c r="Q82" s="1520"/>
      <c r="R82" s="1521"/>
      <c r="S82" s="531"/>
      <c r="T82" s="532"/>
      <c r="U82" s="532"/>
      <c r="V82" s="376"/>
      <c r="W82" s="376"/>
    </row>
    <row r="83" spans="1:23" s="22" customFormat="1" ht="24.75" hidden="1" customHeight="1" x14ac:dyDescent="0.15">
      <c r="A83" s="426"/>
      <c r="B83" s="212"/>
      <c r="C83" s="230" t="s">
        <v>394</v>
      </c>
      <c r="D83" s="230" t="s">
        <v>258</v>
      </c>
      <c r="E83" s="339">
        <v>0</v>
      </c>
      <c r="F83" s="339">
        <f>F84</f>
        <v>0</v>
      </c>
      <c r="G83" s="243">
        <f t="shared" si="3"/>
        <v>0</v>
      </c>
      <c r="H83" s="509" t="e">
        <f t="shared" si="2"/>
        <v>#DIV/0!</v>
      </c>
      <c r="I83" s="1687"/>
      <c r="J83" s="1688"/>
      <c r="K83" s="1688"/>
      <c r="L83" s="1688"/>
      <c r="M83" s="1688"/>
      <c r="N83" s="1688"/>
      <c r="O83" s="1688"/>
      <c r="P83" s="1688"/>
      <c r="Q83" s="1688"/>
      <c r="R83" s="1689"/>
      <c r="S83" s="531"/>
      <c r="T83" s="532"/>
      <c r="U83" s="532"/>
      <c r="V83" s="376"/>
      <c r="W83" s="376"/>
    </row>
    <row r="84" spans="1:23" s="22" customFormat="1" ht="24.75" hidden="1" customHeight="1" x14ac:dyDescent="0.15">
      <c r="A84" s="426"/>
      <c r="B84" s="212"/>
      <c r="C84" s="230"/>
      <c r="D84" s="230" t="s">
        <v>394</v>
      </c>
      <c r="E84" s="339">
        <v>0</v>
      </c>
      <c r="F84" s="339">
        <v>0</v>
      </c>
      <c r="G84" s="243">
        <f t="shared" si="3"/>
        <v>0</v>
      </c>
      <c r="H84" s="509" t="e">
        <f t="shared" si="2"/>
        <v>#DIV/0!</v>
      </c>
      <c r="I84" s="1687" t="s">
        <v>608</v>
      </c>
      <c r="J84" s="1688"/>
      <c r="K84" s="1688"/>
      <c r="L84" s="1688"/>
      <c r="M84" s="1688"/>
      <c r="N84" s="1688"/>
      <c r="O84" s="1688"/>
      <c r="P84" s="1688"/>
      <c r="Q84" s="1688"/>
      <c r="R84" s="1689"/>
      <c r="S84" s="531"/>
      <c r="T84" s="532">
        <f>F84</f>
        <v>0</v>
      </c>
      <c r="U84" s="532"/>
      <c r="V84" s="376"/>
      <c r="W84" s="376"/>
    </row>
    <row r="85" spans="1:23" s="22" customFormat="1" ht="24.75" hidden="1" customHeight="1" x14ac:dyDescent="0.15">
      <c r="A85" s="426"/>
      <c r="B85" s="212"/>
      <c r="C85" s="230" t="s">
        <v>574</v>
      </c>
      <c r="D85" s="230" t="s">
        <v>258</v>
      </c>
      <c r="E85" s="339">
        <v>0</v>
      </c>
      <c r="F85" s="339">
        <f>F86</f>
        <v>0</v>
      </c>
      <c r="G85" s="243">
        <f t="shared" si="3"/>
        <v>0</v>
      </c>
      <c r="H85" s="509" t="e">
        <f t="shared" si="2"/>
        <v>#DIV/0!</v>
      </c>
      <c r="I85" s="1687"/>
      <c r="J85" s="1688"/>
      <c r="K85" s="1688"/>
      <c r="L85" s="1688"/>
      <c r="M85" s="1688"/>
      <c r="N85" s="1688"/>
      <c r="O85" s="1688"/>
      <c r="P85" s="1688"/>
      <c r="Q85" s="1688"/>
      <c r="R85" s="1689"/>
      <c r="S85" s="531"/>
      <c r="T85" s="532">
        <f>F85</f>
        <v>0</v>
      </c>
      <c r="U85" s="532"/>
      <c r="V85" s="376"/>
      <c r="W85" s="376"/>
    </row>
    <row r="86" spans="1:23" s="22" customFormat="1" ht="24.75" hidden="1" customHeight="1" x14ac:dyDescent="0.15">
      <c r="A86" s="426"/>
      <c r="B86" s="214"/>
      <c r="C86" s="230"/>
      <c r="D86" s="230" t="s">
        <v>574</v>
      </c>
      <c r="E86" s="339">
        <v>0</v>
      </c>
      <c r="F86" s="339">
        <v>0</v>
      </c>
      <c r="G86" s="243">
        <f t="shared" si="3"/>
        <v>0</v>
      </c>
      <c r="H86" s="509" t="e">
        <f>G86/E86*100</f>
        <v>#DIV/0!</v>
      </c>
      <c r="I86" s="1676"/>
      <c r="J86" s="1677"/>
      <c r="K86" s="1677"/>
      <c r="L86" s="1677"/>
      <c r="M86" s="1677"/>
      <c r="N86" s="1677"/>
      <c r="O86" s="1677"/>
      <c r="P86" s="1677"/>
      <c r="Q86" s="1677"/>
      <c r="R86" s="1678"/>
      <c r="S86" s="531"/>
      <c r="T86" s="532"/>
      <c r="U86" s="532"/>
      <c r="V86" s="376"/>
      <c r="W86" s="376"/>
    </row>
    <row r="87" spans="1:23" s="22" customFormat="1" ht="24.75" customHeight="1" x14ac:dyDescent="0.15">
      <c r="A87" s="426"/>
      <c r="B87" s="480" t="s">
        <v>609</v>
      </c>
      <c r="C87" s="230" t="s">
        <v>258</v>
      </c>
      <c r="D87" s="230"/>
      <c r="E87" s="339">
        <v>1500000</v>
      </c>
      <c r="F87" s="339">
        <f>F88</f>
        <v>3000000</v>
      </c>
      <c r="G87" s="243">
        <f t="shared" si="3"/>
        <v>1500000</v>
      </c>
      <c r="H87" s="509">
        <f t="shared" si="2"/>
        <v>100</v>
      </c>
      <c r="I87" s="1638"/>
      <c r="J87" s="1639"/>
      <c r="K87" s="1639"/>
      <c r="L87" s="1639"/>
      <c r="M87" s="1639"/>
      <c r="N87" s="1639"/>
      <c r="O87" s="1639"/>
      <c r="P87" s="1639"/>
      <c r="Q87" s="1639"/>
      <c r="R87" s="1640"/>
      <c r="S87" s="376"/>
      <c r="T87" s="527"/>
      <c r="U87" s="527"/>
      <c r="V87" s="376"/>
      <c r="W87" s="376"/>
    </row>
    <row r="88" spans="1:23" s="22" customFormat="1" ht="24.75" customHeight="1" x14ac:dyDescent="0.15">
      <c r="A88" s="451"/>
      <c r="B88" s="196"/>
      <c r="C88" s="230" t="s">
        <v>301</v>
      </c>
      <c r="D88" s="230"/>
      <c r="E88" s="339">
        <v>1500000</v>
      </c>
      <c r="F88" s="339">
        <v>3000000</v>
      </c>
      <c r="G88" s="243">
        <f t="shared" si="3"/>
        <v>1500000</v>
      </c>
      <c r="H88" s="509">
        <f t="shared" si="2"/>
        <v>100</v>
      </c>
      <c r="I88" s="1638"/>
      <c r="J88" s="1639"/>
      <c r="K88" s="1639"/>
      <c r="L88" s="1639"/>
      <c r="M88" s="1639"/>
      <c r="N88" s="1639"/>
      <c r="O88" s="1639"/>
      <c r="P88" s="1639"/>
      <c r="Q88" s="1639"/>
      <c r="R88" s="1640"/>
      <c r="S88" s="376"/>
      <c r="T88" s="527"/>
      <c r="U88" s="527"/>
      <c r="V88" s="376"/>
      <c r="W88" s="376"/>
    </row>
    <row r="89" spans="1:23" s="22" customFormat="1" ht="24.75" customHeight="1" x14ac:dyDescent="0.15">
      <c r="A89" s="533" t="s">
        <v>610</v>
      </c>
      <c r="B89" s="1679" t="s">
        <v>91</v>
      </c>
      <c r="C89" s="1680"/>
      <c r="D89" s="522"/>
      <c r="E89" s="523">
        <v>800000</v>
      </c>
      <c r="F89" s="523">
        <f>F90</f>
        <v>1000000</v>
      </c>
      <c r="G89" s="524">
        <f t="shared" si="3"/>
        <v>200000</v>
      </c>
      <c r="H89" s="506">
        <f t="shared" si="2"/>
        <v>25</v>
      </c>
      <c r="I89" s="1681"/>
      <c r="J89" s="1682"/>
      <c r="K89" s="1682"/>
      <c r="L89" s="1682"/>
      <c r="M89" s="1682"/>
      <c r="N89" s="1682"/>
      <c r="O89" s="1682"/>
      <c r="P89" s="1682"/>
      <c r="Q89" s="1682"/>
      <c r="R89" s="1683"/>
      <c r="S89" s="376"/>
      <c r="T89" s="527"/>
      <c r="U89" s="507">
        <f>F89</f>
        <v>1000000</v>
      </c>
      <c r="V89" s="376"/>
      <c r="W89" s="376"/>
    </row>
    <row r="90" spans="1:23" s="22" customFormat="1" ht="24.75" customHeight="1" x14ac:dyDescent="0.15">
      <c r="A90" s="419"/>
      <c r="B90" s="196" t="s">
        <v>303</v>
      </c>
      <c r="C90" s="230" t="s">
        <v>258</v>
      </c>
      <c r="D90" s="230"/>
      <c r="E90" s="339">
        <v>800000</v>
      </c>
      <c r="F90" s="339">
        <f>F91</f>
        <v>1000000</v>
      </c>
      <c r="G90" s="243">
        <f t="shared" si="3"/>
        <v>200000</v>
      </c>
      <c r="H90" s="509">
        <f t="shared" si="2"/>
        <v>25</v>
      </c>
      <c r="I90" s="1638"/>
      <c r="J90" s="1639"/>
      <c r="K90" s="1639"/>
      <c r="L90" s="1639"/>
      <c r="M90" s="1639"/>
      <c r="N90" s="1639"/>
      <c r="O90" s="1639"/>
      <c r="P90" s="1639"/>
      <c r="Q90" s="1639"/>
      <c r="R90" s="1640"/>
      <c r="S90" s="376"/>
      <c r="T90" s="527"/>
      <c r="U90" s="527"/>
      <c r="V90" s="376"/>
      <c r="W90" s="376"/>
    </row>
    <row r="91" spans="1:23" s="22" customFormat="1" ht="24.75" customHeight="1" x14ac:dyDescent="0.15">
      <c r="A91" s="455"/>
      <c r="B91" s="311"/>
      <c r="C91" s="470" t="s">
        <v>303</v>
      </c>
      <c r="D91" s="470"/>
      <c r="E91" s="359">
        <v>800000</v>
      </c>
      <c r="F91" s="359">
        <v>1000000</v>
      </c>
      <c r="G91" s="244">
        <f t="shared" si="3"/>
        <v>200000</v>
      </c>
      <c r="H91" s="525">
        <f t="shared" si="2"/>
        <v>25</v>
      </c>
      <c r="I91" s="1665" t="s">
        <v>611</v>
      </c>
      <c r="J91" s="1666"/>
      <c r="K91" s="1666"/>
      <c r="L91" s="1666"/>
      <c r="M91" s="1666"/>
      <c r="N91" s="1666"/>
      <c r="O91" s="1666"/>
      <c r="P91" s="1666"/>
      <c r="Q91" s="1666"/>
      <c r="R91" s="1667"/>
      <c r="S91" s="376"/>
      <c r="T91" s="527"/>
      <c r="U91" s="527"/>
      <c r="V91" s="376"/>
      <c r="W91" s="376"/>
    </row>
    <row r="92" spans="1:23" ht="23.25" hidden="1" customHeight="1" x14ac:dyDescent="0.15">
      <c r="A92" s="451" t="s">
        <v>306</v>
      </c>
      <c r="B92" s="1668" t="s">
        <v>255</v>
      </c>
      <c r="C92" s="1669"/>
      <c r="D92" s="480"/>
      <c r="E92" s="347">
        <v>0</v>
      </c>
      <c r="F92" s="347">
        <f>F93</f>
        <v>0</v>
      </c>
      <c r="G92" s="461">
        <f t="shared" si="3"/>
        <v>0</v>
      </c>
      <c r="H92" s="526" t="e">
        <f t="shared" si="2"/>
        <v>#DIV/0!</v>
      </c>
      <c r="I92" s="1670"/>
      <c r="J92" s="1670"/>
      <c r="K92" s="1670"/>
      <c r="L92" s="1670"/>
      <c r="M92" s="1670"/>
      <c r="N92" s="1670"/>
      <c r="O92" s="1670"/>
      <c r="P92" s="1670"/>
      <c r="Q92" s="1670"/>
      <c r="R92" s="1671"/>
      <c r="S92" s="430"/>
      <c r="T92" s="507"/>
      <c r="U92" s="507">
        <f>F92</f>
        <v>0</v>
      </c>
      <c r="V92" s="430"/>
      <c r="W92" s="430"/>
    </row>
    <row r="93" spans="1:23" ht="23.25" hidden="1" customHeight="1" x14ac:dyDescent="0.15">
      <c r="A93" s="419"/>
      <c r="B93" s="534" t="s">
        <v>612</v>
      </c>
      <c r="C93" s="1594" t="s">
        <v>255</v>
      </c>
      <c r="D93" s="1595"/>
      <c r="E93" s="363">
        <v>0</v>
      </c>
      <c r="F93" s="363">
        <f>F94</f>
        <v>0</v>
      </c>
      <c r="G93" s="243">
        <f t="shared" si="3"/>
        <v>0</v>
      </c>
      <c r="H93" s="509" t="e">
        <f t="shared" si="2"/>
        <v>#DIV/0!</v>
      </c>
      <c r="I93" s="1672"/>
      <c r="J93" s="1672"/>
      <c r="K93" s="1672"/>
      <c r="L93" s="1672"/>
      <c r="M93" s="1672"/>
      <c r="N93" s="1672"/>
      <c r="O93" s="1672"/>
      <c r="P93" s="1672"/>
      <c r="Q93" s="1672"/>
      <c r="R93" s="1673"/>
      <c r="S93" s="430"/>
      <c r="T93" s="507"/>
      <c r="U93" s="507"/>
      <c r="V93" s="430"/>
      <c r="W93" s="430"/>
    </row>
    <row r="94" spans="1:23" ht="23.25" hidden="1" customHeight="1" x14ac:dyDescent="0.15">
      <c r="A94" s="426"/>
      <c r="B94" s="217"/>
      <c r="C94" s="230" t="s">
        <v>613</v>
      </c>
      <c r="D94" s="196" t="s">
        <v>258</v>
      </c>
      <c r="E94" s="363">
        <v>0</v>
      </c>
      <c r="F94" s="363">
        <f>F95</f>
        <v>0</v>
      </c>
      <c r="G94" s="243">
        <f t="shared" si="3"/>
        <v>0</v>
      </c>
      <c r="H94" s="509" t="e">
        <f t="shared" si="2"/>
        <v>#DIV/0!</v>
      </c>
      <c r="I94" s="1674"/>
      <c r="J94" s="1674"/>
      <c r="K94" s="1674"/>
      <c r="L94" s="1674"/>
      <c r="M94" s="1674"/>
      <c r="N94" s="1674"/>
      <c r="O94" s="1674"/>
      <c r="P94" s="1674"/>
      <c r="Q94" s="1674"/>
      <c r="R94" s="1675"/>
      <c r="S94" s="430"/>
      <c r="T94" s="507"/>
      <c r="U94" s="507"/>
      <c r="V94" s="430"/>
      <c r="W94" s="430"/>
    </row>
    <row r="95" spans="1:23" ht="29.25" hidden="1" customHeight="1" x14ac:dyDescent="0.15">
      <c r="A95" s="411" t="s">
        <v>575</v>
      </c>
      <c r="B95" s="221"/>
      <c r="C95" s="214"/>
      <c r="D95" s="196" t="s">
        <v>614</v>
      </c>
      <c r="E95" s="339">
        <v>0</v>
      </c>
      <c r="F95" s="339">
        <v>0</v>
      </c>
      <c r="G95" s="243">
        <f t="shared" si="3"/>
        <v>0</v>
      </c>
      <c r="H95" s="509" t="e">
        <f t="shared" si="2"/>
        <v>#DIV/0!</v>
      </c>
      <c r="I95" s="1659"/>
      <c r="J95" s="1660"/>
      <c r="K95" s="1660"/>
      <c r="L95" s="1660"/>
      <c r="M95" s="1660"/>
      <c r="N95" s="1660"/>
      <c r="O95" s="1660"/>
      <c r="P95" s="1660"/>
      <c r="Q95" s="1660"/>
      <c r="R95" s="1661"/>
      <c r="S95" s="430"/>
      <c r="T95" s="507"/>
      <c r="U95" s="507">
        <f>F95</f>
        <v>0</v>
      </c>
      <c r="V95" s="430"/>
      <c r="W95" s="430"/>
    </row>
    <row r="96" spans="1:23" ht="24" hidden="1" customHeight="1" x14ac:dyDescent="0.15">
      <c r="A96" s="419"/>
      <c r="B96" s="214" t="s">
        <v>575</v>
      </c>
      <c r="C96" s="480" t="s">
        <v>258</v>
      </c>
      <c r="D96" s="480"/>
      <c r="E96" s="347">
        <v>0</v>
      </c>
      <c r="F96" s="347">
        <f>F97</f>
        <v>0</v>
      </c>
      <c r="G96" s="461">
        <f t="shared" si="3"/>
        <v>0</v>
      </c>
      <c r="H96" s="509" t="e">
        <f t="shared" si="2"/>
        <v>#DIV/0!</v>
      </c>
      <c r="I96" s="1662"/>
      <c r="J96" s="1663"/>
      <c r="K96" s="1663"/>
      <c r="L96" s="1663"/>
      <c r="M96" s="1663"/>
      <c r="N96" s="1663"/>
      <c r="O96" s="1663"/>
      <c r="P96" s="1663"/>
      <c r="Q96" s="1663"/>
      <c r="R96" s="1664"/>
      <c r="S96" s="430"/>
      <c r="T96" s="507"/>
      <c r="U96" s="507"/>
      <c r="V96" s="430"/>
      <c r="W96" s="430"/>
    </row>
    <row r="97" spans="1:23" ht="24" hidden="1" customHeight="1" x14ac:dyDescent="0.15">
      <c r="A97" s="455"/>
      <c r="B97" s="311"/>
      <c r="C97" s="470" t="s">
        <v>575</v>
      </c>
      <c r="D97" s="470"/>
      <c r="E97" s="359">
        <v>0</v>
      </c>
      <c r="F97" s="359">
        <v>0</v>
      </c>
      <c r="G97" s="244">
        <f t="shared" si="3"/>
        <v>0</v>
      </c>
      <c r="H97" s="509" t="e">
        <f t="shared" si="2"/>
        <v>#DIV/0!</v>
      </c>
      <c r="I97" s="1665"/>
      <c r="J97" s="1666"/>
      <c r="K97" s="1666"/>
      <c r="L97" s="1666"/>
      <c r="M97" s="1666"/>
      <c r="N97" s="1666"/>
      <c r="O97" s="1666"/>
      <c r="P97" s="1666"/>
      <c r="Q97" s="1666"/>
      <c r="R97" s="1667"/>
      <c r="S97" s="430"/>
      <c r="T97" s="507"/>
      <c r="U97" s="507"/>
      <c r="V97" s="430"/>
      <c r="W97" s="430"/>
    </row>
    <row r="98" spans="1:23" x14ac:dyDescent="0.15">
      <c r="A98" s="53"/>
      <c r="B98" s="53"/>
      <c r="C98" s="53"/>
      <c r="D98" s="53"/>
    </row>
  </sheetData>
  <mergeCells count="108">
    <mergeCell ref="A6:C6"/>
    <mergeCell ref="I6:R6"/>
    <mergeCell ref="B7:C7"/>
    <mergeCell ref="I7:R7"/>
    <mergeCell ref="I8:R8"/>
    <mergeCell ref="I9:R9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I16:R16"/>
    <mergeCell ref="I17:R17"/>
    <mergeCell ref="I18:R18"/>
    <mergeCell ref="I19:R19"/>
    <mergeCell ref="I20:R20"/>
    <mergeCell ref="I21:R21"/>
    <mergeCell ref="I10:R10"/>
    <mergeCell ref="I11:R11"/>
    <mergeCell ref="I12:R12"/>
    <mergeCell ref="I13:R13"/>
    <mergeCell ref="I14:R14"/>
    <mergeCell ref="I15:R15"/>
    <mergeCell ref="I28:R28"/>
    <mergeCell ref="I29:R29"/>
    <mergeCell ref="I30:R30"/>
    <mergeCell ref="I31:R31"/>
    <mergeCell ref="I32:R32"/>
    <mergeCell ref="I33:R33"/>
    <mergeCell ref="I22:R22"/>
    <mergeCell ref="I23:R23"/>
    <mergeCell ref="I24:R24"/>
    <mergeCell ref="I25:R25"/>
    <mergeCell ref="I26:R26"/>
    <mergeCell ref="I27:R27"/>
    <mergeCell ref="I40:R40"/>
    <mergeCell ref="I41:R41"/>
    <mergeCell ref="I42:R42"/>
    <mergeCell ref="I43:R43"/>
    <mergeCell ref="I44:R44"/>
    <mergeCell ref="I45:R45"/>
    <mergeCell ref="I34:R34"/>
    <mergeCell ref="I35:R35"/>
    <mergeCell ref="I36:R36"/>
    <mergeCell ref="I37:R37"/>
    <mergeCell ref="I38:R38"/>
    <mergeCell ref="I39:R39"/>
    <mergeCell ref="I51:R51"/>
    <mergeCell ref="B52:C52"/>
    <mergeCell ref="I52:R52"/>
    <mergeCell ref="I53:R53"/>
    <mergeCell ref="I54:R54"/>
    <mergeCell ref="I55:R55"/>
    <mergeCell ref="I46:R46"/>
    <mergeCell ref="B47:C47"/>
    <mergeCell ref="I47:R47"/>
    <mergeCell ref="I48:R48"/>
    <mergeCell ref="I49:R49"/>
    <mergeCell ref="I50:R50"/>
    <mergeCell ref="I62:R62"/>
    <mergeCell ref="I63:R63"/>
    <mergeCell ref="I64:R64"/>
    <mergeCell ref="I65:R65"/>
    <mergeCell ref="I66:R66"/>
    <mergeCell ref="I67:R67"/>
    <mergeCell ref="I56:R56"/>
    <mergeCell ref="I57:R57"/>
    <mergeCell ref="I58:R58"/>
    <mergeCell ref="I59:R59"/>
    <mergeCell ref="I60:R60"/>
    <mergeCell ref="I61:R61"/>
    <mergeCell ref="I74:R74"/>
    <mergeCell ref="I75:R75"/>
    <mergeCell ref="I76:R76"/>
    <mergeCell ref="I77:R77"/>
    <mergeCell ref="I78:R78"/>
    <mergeCell ref="I79:R79"/>
    <mergeCell ref="I68:R68"/>
    <mergeCell ref="I69:R69"/>
    <mergeCell ref="I70:R70"/>
    <mergeCell ref="I71:R71"/>
    <mergeCell ref="I72:R72"/>
    <mergeCell ref="I73:R73"/>
    <mergeCell ref="I86:R86"/>
    <mergeCell ref="I87:R87"/>
    <mergeCell ref="I88:R88"/>
    <mergeCell ref="B89:C89"/>
    <mergeCell ref="I89:R89"/>
    <mergeCell ref="I90:R90"/>
    <mergeCell ref="I80:R80"/>
    <mergeCell ref="I81:R81"/>
    <mergeCell ref="I82:R82"/>
    <mergeCell ref="I83:R83"/>
    <mergeCell ref="I84:R84"/>
    <mergeCell ref="I85:R85"/>
    <mergeCell ref="I95:R95"/>
    <mergeCell ref="I96:R96"/>
    <mergeCell ref="I97:R97"/>
    <mergeCell ref="I91:R91"/>
    <mergeCell ref="B92:C92"/>
    <mergeCell ref="I92:R92"/>
    <mergeCell ref="C93:D93"/>
    <mergeCell ref="I93:R93"/>
    <mergeCell ref="I94:R94"/>
  </mergeCells>
  <phoneticPr fontId="5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5.3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6.5" style="22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649" t="s">
        <v>404</v>
      </c>
      <c r="B1" s="1650"/>
      <c r="C1" s="1650"/>
      <c r="D1" s="21"/>
      <c r="E1" s="93"/>
      <c r="F1" s="23"/>
      <c r="G1" s="23"/>
    </row>
    <row r="2" spans="1:10" s="25" customFormat="1" ht="22.5" customHeight="1" x14ac:dyDescent="0.15">
      <c r="A2" s="1560" t="s">
        <v>405</v>
      </c>
      <c r="B2" s="1560"/>
      <c r="C2" s="1560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244</v>
      </c>
    </row>
    <row r="4" spans="1:10" s="248" customFormat="1" ht="33.75" customHeight="1" x14ac:dyDescent="0.15">
      <c r="A4" s="1714" t="s">
        <v>247</v>
      </c>
      <c r="B4" s="1715"/>
      <c r="C4" s="1715"/>
      <c r="D4" s="1565" t="str">
        <f>'[1]다-2.자부담세입'!D4:D5</f>
        <v>당초예산
( A )</v>
      </c>
      <c r="E4" s="1567" t="str">
        <f>'[1]다-2.자부담세입'!E4:E5</f>
        <v>1차추경
( B )</v>
      </c>
      <c r="F4" s="1569" t="s">
        <v>406</v>
      </c>
      <c r="G4" s="1569"/>
      <c r="H4" s="1709" t="s">
        <v>407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566"/>
      <c r="E5" s="1568"/>
      <c r="F5" s="250" t="s">
        <v>251</v>
      </c>
      <c r="G5" s="251" t="s">
        <v>252</v>
      </c>
      <c r="H5" s="1710"/>
    </row>
    <row r="6" spans="1:10" s="248" customFormat="1" ht="29.25" customHeight="1" thickTop="1" x14ac:dyDescent="0.15">
      <c r="A6" s="1576" t="s">
        <v>408</v>
      </c>
      <c r="B6" s="1711"/>
      <c r="C6" s="1711"/>
      <c r="D6" s="252">
        <v>380700000</v>
      </c>
      <c r="E6" s="252">
        <f>E16+E22+E26+E29+E33</f>
        <v>401500000</v>
      </c>
      <c r="F6" s="252">
        <f>F10+F22+F26+F29+F33+F13+F7+F16</f>
        <v>20800000</v>
      </c>
      <c r="G6" s="253">
        <f>F6/D6*100</f>
        <v>5.4636196480168113</v>
      </c>
      <c r="H6" s="254"/>
      <c r="J6" s="255">
        <f>E6-'[1]라-3.후원금세출'!F6</f>
        <v>0</v>
      </c>
    </row>
    <row r="7" spans="1:10" s="93" customFormat="1" ht="29.25" customHeight="1" x14ac:dyDescent="0.15">
      <c r="A7" s="256" t="s">
        <v>254</v>
      </c>
      <c r="B7" s="1707" t="s">
        <v>255</v>
      </c>
      <c r="C7" s="1707"/>
      <c r="D7" s="242">
        <v>0</v>
      </c>
      <c r="E7" s="242">
        <f>E8</f>
        <v>0</v>
      </c>
      <c r="F7" s="242">
        <f>F8</f>
        <v>0</v>
      </c>
      <c r="G7" s="257">
        <v>0</v>
      </c>
      <c r="H7" s="258"/>
    </row>
    <row r="8" spans="1:10" s="93" customFormat="1" ht="29.25" customHeight="1" x14ac:dyDescent="0.15">
      <c r="A8" s="259"/>
      <c r="B8" s="245" t="s">
        <v>257</v>
      </c>
      <c r="C8" s="245" t="s">
        <v>258</v>
      </c>
      <c r="D8" s="243">
        <v>0</v>
      </c>
      <c r="E8" s="243">
        <f>E9</f>
        <v>0</v>
      </c>
      <c r="F8" s="243">
        <f>F9</f>
        <v>0</v>
      </c>
      <c r="G8" s="257">
        <v>0</v>
      </c>
      <c r="H8" s="260"/>
    </row>
    <row r="9" spans="1:10" s="93" customFormat="1" ht="29.25" customHeight="1" x14ac:dyDescent="0.15">
      <c r="A9" s="261"/>
      <c r="B9" s="245"/>
      <c r="C9" s="245" t="s">
        <v>257</v>
      </c>
      <c r="D9" s="243">
        <v>0</v>
      </c>
      <c r="E9" s="243">
        <v>0</v>
      </c>
      <c r="F9" s="243">
        <f>E9-D9</f>
        <v>0</v>
      </c>
      <c r="G9" s="257">
        <v>0</v>
      </c>
      <c r="H9" s="260"/>
    </row>
    <row r="10" spans="1:10" s="93" customFormat="1" ht="29.25" customHeight="1" x14ac:dyDescent="0.15">
      <c r="A10" s="256" t="s">
        <v>264</v>
      </c>
      <c r="B10" s="1707" t="s">
        <v>255</v>
      </c>
      <c r="C10" s="1707"/>
      <c r="D10" s="242">
        <v>0</v>
      </c>
      <c r="E10" s="242">
        <f>E11</f>
        <v>0</v>
      </c>
      <c r="F10" s="242">
        <f>F11</f>
        <v>0</v>
      </c>
      <c r="G10" s="257">
        <v>0</v>
      </c>
      <c r="H10" s="260"/>
    </row>
    <row r="11" spans="1:10" s="93" customFormat="1" ht="29.25" customHeight="1" x14ac:dyDescent="0.15">
      <c r="A11" s="259"/>
      <c r="B11" s="245" t="s">
        <v>264</v>
      </c>
      <c r="C11" s="245" t="s">
        <v>258</v>
      </c>
      <c r="D11" s="242">
        <v>0</v>
      </c>
      <c r="E11" s="242">
        <f>E12</f>
        <v>0</v>
      </c>
      <c r="F11" s="242">
        <f>F12</f>
        <v>0</v>
      </c>
      <c r="G11" s="257">
        <v>0</v>
      </c>
      <c r="H11" s="260"/>
    </row>
    <row r="12" spans="1:10" s="93" customFormat="1" ht="29.25" customHeight="1" x14ac:dyDescent="0.15">
      <c r="A12" s="261"/>
      <c r="B12" s="245"/>
      <c r="C12" s="245" t="s">
        <v>264</v>
      </c>
      <c r="D12" s="242">
        <v>0</v>
      </c>
      <c r="E12" s="242">
        <v>0</v>
      </c>
      <c r="F12" s="243">
        <f>E12-D12</f>
        <v>0</v>
      </c>
      <c r="G12" s="257">
        <v>0</v>
      </c>
      <c r="H12" s="260"/>
    </row>
    <row r="13" spans="1:10" s="93" customFormat="1" ht="29.25" customHeight="1" x14ac:dyDescent="0.15">
      <c r="A13" s="256" t="s">
        <v>268</v>
      </c>
      <c r="B13" s="1707" t="s">
        <v>255</v>
      </c>
      <c r="C13" s="1707"/>
      <c r="D13" s="242">
        <v>0</v>
      </c>
      <c r="E13" s="242">
        <f>E14</f>
        <v>0</v>
      </c>
      <c r="F13" s="242">
        <f>F14</f>
        <v>0</v>
      </c>
      <c r="G13" s="257">
        <v>0</v>
      </c>
      <c r="H13" s="260"/>
    </row>
    <row r="14" spans="1:10" s="93" customFormat="1" ht="29.25" customHeight="1" x14ac:dyDescent="0.15">
      <c r="A14" s="259"/>
      <c r="B14" s="245" t="s">
        <v>285</v>
      </c>
      <c r="C14" s="245" t="s">
        <v>258</v>
      </c>
      <c r="D14" s="242">
        <v>0</v>
      </c>
      <c r="E14" s="242">
        <f>E15</f>
        <v>0</v>
      </c>
      <c r="F14" s="242">
        <f>F15</f>
        <v>0</v>
      </c>
      <c r="G14" s="257">
        <v>0</v>
      </c>
      <c r="H14" s="260"/>
    </row>
    <row r="15" spans="1:10" s="93" customFormat="1" ht="29.25" customHeight="1" x14ac:dyDescent="0.15">
      <c r="A15" s="261"/>
      <c r="B15" s="245"/>
      <c r="C15" s="245" t="s">
        <v>285</v>
      </c>
      <c r="D15" s="242">
        <v>0</v>
      </c>
      <c r="E15" s="242">
        <v>0</v>
      </c>
      <c r="F15" s="243">
        <f t="shared" ref="F15:F37" si="0">E15-D15</f>
        <v>0</v>
      </c>
      <c r="G15" s="257">
        <v>0</v>
      </c>
      <c r="H15" s="260"/>
    </row>
    <row r="16" spans="1:10" s="93" customFormat="1" ht="29.25" customHeight="1" x14ac:dyDescent="0.15">
      <c r="A16" s="262" t="s">
        <v>285</v>
      </c>
      <c r="B16" s="1712" t="s">
        <v>255</v>
      </c>
      <c r="C16" s="1713"/>
      <c r="D16" s="263">
        <v>364200000</v>
      </c>
      <c r="E16" s="263">
        <f>E17+E20</f>
        <v>378500000</v>
      </c>
      <c r="F16" s="264">
        <f t="shared" si="0"/>
        <v>14300000</v>
      </c>
      <c r="G16" s="265">
        <f t="shared" ref="G16:G36" si="1">F16/D16*100</f>
        <v>3.9264140582097746</v>
      </c>
      <c r="H16" s="266"/>
    </row>
    <row r="17" spans="1:8" s="93" customFormat="1" ht="29.25" customHeight="1" x14ac:dyDescent="0.15">
      <c r="A17" s="259"/>
      <c r="B17" s="245" t="s">
        <v>285</v>
      </c>
      <c r="C17" s="245" t="s">
        <v>258</v>
      </c>
      <c r="D17" s="242">
        <v>364200000</v>
      </c>
      <c r="E17" s="242">
        <f>SUM(E18:E19)</f>
        <v>378500000</v>
      </c>
      <c r="F17" s="243">
        <f t="shared" si="0"/>
        <v>14300000</v>
      </c>
      <c r="G17" s="267">
        <f>F17/D17*100</f>
        <v>3.9264140582097746</v>
      </c>
      <c r="H17" s="260"/>
    </row>
    <row r="18" spans="1:8" s="93" customFormat="1" ht="53.25" customHeight="1" x14ac:dyDescent="0.15">
      <c r="A18" s="268"/>
      <c r="B18" s="269"/>
      <c r="C18" s="245" t="s">
        <v>287</v>
      </c>
      <c r="D18" s="242">
        <v>14200000</v>
      </c>
      <c r="E18" s="242">
        <f>12400000+3280000+2820000+20000000</f>
        <v>38500000</v>
      </c>
      <c r="F18" s="243">
        <f t="shared" si="0"/>
        <v>24300000</v>
      </c>
      <c r="G18" s="267">
        <f t="shared" si="1"/>
        <v>171.12676056338029</v>
      </c>
      <c r="H18" s="270" t="s">
        <v>409</v>
      </c>
    </row>
    <row r="19" spans="1:8" s="93" customFormat="1" ht="29.25" customHeight="1" x14ac:dyDescent="0.15">
      <c r="A19" s="268"/>
      <c r="B19" s="271"/>
      <c r="C19" s="245" t="s">
        <v>289</v>
      </c>
      <c r="D19" s="242">
        <v>350000000</v>
      </c>
      <c r="E19" s="242">
        <v>340000000</v>
      </c>
      <c r="F19" s="243">
        <f>E19-D19</f>
        <v>-10000000</v>
      </c>
      <c r="G19" s="267">
        <f t="shared" si="1"/>
        <v>-2.8571428571428572</v>
      </c>
      <c r="H19" s="272" t="s">
        <v>410</v>
      </c>
    </row>
    <row r="20" spans="1:8" s="93" customFormat="1" ht="29.25" hidden="1" customHeight="1" x14ac:dyDescent="0.15">
      <c r="A20" s="268"/>
      <c r="B20" s="245"/>
      <c r="C20" s="245"/>
      <c r="D20" s="242"/>
      <c r="E20" s="242"/>
      <c r="F20" s="243">
        <f t="shared" si="0"/>
        <v>0</v>
      </c>
      <c r="G20" s="267" t="e">
        <f t="shared" si="1"/>
        <v>#DIV/0!</v>
      </c>
      <c r="H20" s="260"/>
    </row>
    <row r="21" spans="1:8" s="93" customFormat="1" ht="29.25" hidden="1" customHeight="1" x14ac:dyDescent="0.15">
      <c r="A21" s="268"/>
      <c r="B21" s="269"/>
      <c r="C21" s="245"/>
      <c r="D21" s="242"/>
      <c r="E21" s="242"/>
      <c r="F21" s="243">
        <f t="shared" si="0"/>
        <v>0</v>
      </c>
      <c r="G21" s="267" t="e">
        <f t="shared" si="1"/>
        <v>#DIV/0!</v>
      </c>
      <c r="H21" s="260"/>
    </row>
    <row r="22" spans="1:8" s="93" customFormat="1" ht="29.25" hidden="1" customHeight="1" x14ac:dyDescent="0.15">
      <c r="A22" s="256" t="s">
        <v>411</v>
      </c>
      <c r="B22" s="1707" t="s">
        <v>255</v>
      </c>
      <c r="C22" s="1707"/>
      <c r="D22" s="243">
        <v>0</v>
      </c>
      <c r="E22" s="243">
        <f>E23</f>
        <v>0</v>
      </c>
      <c r="F22" s="243">
        <f t="shared" si="0"/>
        <v>0</v>
      </c>
      <c r="G22" s="267">
        <v>0</v>
      </c>
      <c r="H22" s="260"/>
    </row>
    <row r="23" spans="1:8" s="93" customFormat="1" ht="29.25" hidden="1" customHeight="1" x14ac:dyDescent="0.15">
      <c r="A23" s="259"/>
      <c r="B23" s="245" t="s">
        <v>411</v>
      </c>
      <c r="C23" s="245" t="s">
        <v>258</v>
      </c>
      <c r="D23" s="243">
        <v>0</v>
      </c>
      <c r="E23" s="243">
        <f>SUM(E24:E25)</f>
        <v>0</v>
      </c>
      <c r="F23" s="243">
        <f t="shared" si="0"/>
        <v>0</v>
      </c>
      <c r="G23" s="267">
        <v>0</v>
      </c>
      <c r="H23" s="260"/>
    </row>
    <row r="24" spans="1:8" s="93" customFormat="1" ht="29.25" hidden="1" customHeight="1" x14ac:dyDescent="0.15">
      <c r="A24" s="268"/>
      <c r="B24" s="269"/>
      <c r="C24" s="245" t="s">
        <v>412</v>
      </c>
      <c r="D24" s="243">
        <v>0</v>
      </c>
      <c r="E24" s="243">
        <v>0</v>
      </c>
      <c r="F24" s="243">
        <f t="shared" si="0"/>
        <v>0</v>
      </c>
      <c r="G24" s="267">
        <v>0</v>
      </c>
      <c r="H24" s="260"/>
    </row>
    <row r="25" spans="1:8" s="93" customFormat="1" ht="29.25" hidden="1" customHeight="1" x14ac:dyDescent="0.15">
      <c r="A25" s="268"/>
      <c r="B25" s="273"/>
      <c r="C25" s="245" t="s">
        <v>413</v>
      </c>
      <c r="D25" s="243">
        <v>0</v>
      </c>
      <c r="E25" s="243">
        <v>0</v>
      </c>
      <c r="F25" s="243">
        <f t="shared" si="0"/>
        <v>0</v>
      </c>
      <c r="G25" s="267">
        <v>0</v>
      </c>
      <c r="H25" s="260"/>
    </row>
    <row r="26" spans="1:8" s="93" customFormat="1" ht="29.25" hidden="1" customHeight="1" x14ac:dyDescent="0.15">
      <c r="A26" s="256" t="s">
        <v>292</v>
      </c>
      <c r="B26" s="1512" t="s">
        <v>255</v>
      </c>
      <c r="C26" s="1513"/>
      <c r="D26" s="243">
        <v>0</v>
      </c>
      <c r="E26" s="243">
        <f>E27</f>
        <v>0</v>
      </c>
      <c r="F26" s="243">
        <f t="shared" si="0"/>
        <v>0</v>
      </c>
      <c r="G26" s="267">
        <v>0</v>
      </c>
      <c r="H26" s="260"/>
    </row>
    <row r="27" spans="1:8" s="93" customFormat="1" ht="29.25" hidden="1" customHeight="1" x14ac:dyDescent="0.15">
      <c r="A27" s="268"/>
      <c r="B27" s="245" t="s">
        <v>292</v>
      </c>
      <c r="C27" s="245" t="s">
        <v>258</v>
      </c>
      <c r="D27" s="243">
        <v>0</v>
      </c>
      <c r="E27" s="243">
        <f>E28</f>
        <v>0</v>
      </c>
      <c r="F27" s="243">
        <f t="shared" si="0"/>
        <v>0</v>
      </c>
      <c r="G27" s="267">
        <v>0</v>
      </c>
      <c r="H27" s="260"/>
    </row>
    <row r="28" spans="1:8" s="93" customFormat="1" ht="29.25" hidden="1" customHeight="1" x14ac:dyDescent="0.15">
      <c r="A28" s="268"/>
      <c r="B28" s="245"/>
      <c r="C28" s="245" t="s">
        <v>294</v>
      </c>
      <c r="D28" s="243">
        <v>0</v>
      </c>
      <c r="E28" s="243">
        <v>0</v>
      </c>
      <c r="F28" s="243">
        <f t="shared" si="0"/>
        <v>0</v>
      </c>
      <c r="G28" s="267">
        <v>0</v>
      </c>
      <c r="H28" s="260"/>
    </row>
    <row r="29" spans="1:8" s="93" customFormat="1" ht="29.25" customHeight="1" x14ac:dyDescent="0.15">
      <c r="A29" s="274" t="s">
        <v>295</v>
      </c>
      <c r="B29" s="1708" t="s">
        <v>255</v>
      </c>
      <c r="C29" s="1708"/>
      <c r="D29" s="264">
        <v>15900000</v>
      </c>
      <c r="E29" s="264">
        <f>E30</f>
        <v>22458368</v>
      </c>
      <c r="F29" s="264">
        <f t="shared" si="0"/>
        <v>6558368</v>
      </c>
      <c r="G29" s="265">
        <f t="shared" si="1"/>
        <v>41.247597484276724</v>
      </c>
      <c r="H29" s="266"/>
    </row>
    <row r="30" spans="1:8" s="93" customFormat="1" ht="29.25" customHeight="1" x14ac:dyDescent="0.15">
      <c r="A30" s="259"/>
      <c r="B30" s="245" t="s">
        <v>295</v>
      </c>
      <c r="C30" s="245" t="s">
        <v>258</v>
      </c>
      <c r="D30" s="243">
        <v>15900000</v>
      </c>
      <c r="E30" s="243">
        <f>SUM(E31:E32)</f>
        <v>22458368</v>
      </c>
      <c r="F30" s="243">
        <f t="shared" si="0"/>
        <v>6558368</v>
      </c>
      <c r="G30" s="267">
        <f t="shared" si="1"/>
        <v>41.247597484276724</v>
      </c>
      <c r="H30" s="260"/>
    </row>
    <row r="31" spans="1:8" s="93" customFormat="1" ht="43.5" customHeight="1" x14ac:dyDescent="0.15">
      <c r="A31" s="268"/>
      <c r="B31" s="269"/>
      <c r="C31" s="245" t="s">
        <v>296</v>
      </c>
      <c r="D31" s="243">
        <v>15900000</v>
      </c>
      <c r="E31" s="243">
        <f>18629586+3008670+820112</f>
        <v>22458368</v>
      </c>
      <c r="F31" s="243">
        <f t="shared" si="0"/>
        <v>6558368</v>
      </c>
      <c r="G31" s="267">
        <f t="shared" si="1"/>
        <v>41.247597484276724</v>
      </c>
      <c r="H31" s="270" t="s">
        <v>414</v>
      </c>
    </row>
    <row r="32" spans="1:8" s="93" customFormat="1" ht="28.5" customHeight="1" x14ac:dyDescent="0.15">
      <c r="A32" s="261"/>
      <c r="B32" s="271"/>
      <c r="C32" s="245" t="s">
        <v>298</v>
      </c>
      <c r="D32" s="243">
        <v>0</v>
      </c>
      <c r="E32" s="243">
        <v>0</v>
      </c>
      <c r="F32" s="243">
        <f t="shared" si="0"/>
        <v>0</v>
      </c>
      <c r="G32" s="267">
        <v>0</v>
      </c>
      <c r="H32" s="260"/>
    </row>
    <row r="33" spans="1:12" s="276" customFormat="1" ht="28.5" customHeight="1" x14ac:dyDescent="0.15">
      <c r="A33" s="274" t="s">
        <v>299</v>
      </c>
      <c r="B33" s="1708" t="s">
        <v>255</v>
      </c>
      <c r="C33" s="1708"/>
      <c r="D33" s="264">
        <v>600000</v>
      </c>
      <c r="E33" s="264">
        <f>E34</f>
        <v>541632</v>
      </c>
      <c r="F33" s="264">
        <f t="shared" si="0"/>
        <v>-58368</v>
      </c>
      <c r="G33" s="265">
        <f t="shared" si="1"/>
        <v>-9.7279999999999998</v>
      </c>
      <c r="H33" s="275"/>
    </row>
    <row r="34" spans="1:12" s="276" customFormat="1" ht="28.5" customHeight="1" x14ac:dyDescent="0.15">
      <c r="A34" s="259"/>
      <c r="B34" s="245" t="s">
        <v>299</v>
      </c>
      <c r="C34" s="245" t="s">
        <v>258</v>
      </c>
      <c r="D34" s="243">
        <v>600000</v>
      </c>
      <c r="E34" s="243">
        <f>SUM(E35:E37)</f>
        <v>541632</v>
      </c>
      <c r="F34" s="243">
        <f t="shared" si="0"/>
        <v>-58368</v>
      </c>
      <c r="G34" s="267">
        <f t="shared" si="1"/>
        <v>-9.7279999999999998</v>
      </c>
      <c r="H34" s="277"/>
    </row>
    <row r="35" spans="1:12" s="248" customFormat="1" ht="28.5" customHeight="1" x14ac:dyDescent="0.15">
      <c r="A35" s="268"/>
      <c r="B35" s="269"/>
      <c r="C35" s="245" t="s">
        <v>302</v>
      </c>
      <c r="D35" s="243">
        <v>0</v>
      </c>
      <c r="E35" s="243">
        <v>0</v>
      </c>
      <c r="F35" s="243">
        <f t="shared" si="0"/>
        <v>0</v>
      </c>
      <c r="G35" s="267">
        <v>0</v>
      </c>
      <c r="H35" s="278"/>
    </row>
    <row r="36" spans="1:12" s="248" customFormat="1" ht="28.5" customHeight="1" x14ac:dyDescent="0.15">
      <c r="A36" s="268"/>
      <c r="B36" s="273"/>
      <c r="C36" s="245" t="s">
        <v>304</v>
      </c>
      <c r="D36" s="243">
        <v>600000</v>
      </c>
      <c r="E36" s="243">
        <v>541632</v>
      </c>
      <c r="F36" s="243">
        <f t="shared" si="0"/>
        <v>-58368</v>
      </c>
      <c r="G36" s="267">
        <f t="shared" si="1"/>
        <v>-9.7279999999999998</v>
      </c>
      <c r="H36" s="278"/>
    </row>
    <row r="37" spans="1:12" ht="28.5" customHeight="1" x14ac:dyDescent="0.15">
      <c r="A37" s="279"/>
      <c r="B37" s="280"/>
      <c r="C37" s="281" t="s">
        <v>305</v>
      </c>
      <c r="D37" s="244">
        <v>0</v>
      </c>
      <c r="E37" s="244">
        <v>0</v>
      </c>
      <c r="F37" s="244">
        <f t="shared" si="0"/>
        <v>0</v>
      </c>
      <c r="G37" s="282">
        <v>0</v>
      </c>
      <c r="H37" s="283"/>
      <c r="I37" s="93"/>
      <c r="J37" s="93"/>
      <c r="K37" s="93"/>
      <c r="L37" s="93"/>
    </row>
    <row r="38" spans="1:12" ht="23.25" customHeight="1" x14ac:dyDescent="0.15">
      <c r="A38" s="284"/>
      <c r="B38" s="284"/>
      <c r="C38" s="284"/>
      <c r="D38" s="285"/>
      <c r="E38" s="284"/>
      <c r="F38" s="284"/>
      <c r="G38" s="284"/>
      <c r="H38" s="286"/>
      <c r="I38" s="93"/>
      <c r="J38" s="93"/>
      <c r="K38" s="93"/>
      <c r="L38" s="9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  <row r="79" spans="1:7" x14ac:dyDescent="0.15">
      <c r="A79" s="53"/>
      <c r="B79" s="53"/>
      <c r="C79" s="53"/>
      <c r="D79" s="287"/>
      <c r="E79" s="53"/>
      <c r="F79" s="53"/>
      <c r="G79" s="53"/>
    </row>
    <row r="80" spans="1:7" x14ac:dyDescent="0.15">
      <c r="A80" s="53"/>
      <c r="B80" s="53"/>
      <c r="C80" s="53"/>
      <c r="D80" s="287"/>
      <c r="E80" s="53"/>
      <c r="F80" s="53"/>
      <c r="G80" s="53"/>
    </row>
    <row r="81" spans="1:7" x14ac:dyDescent="0.15">
      <c r="A81" s="53"/>
      <c r="B81" s="53"/>
      <c r="C81" s="53"/>
      <c r="D81" s="287"/>
      <c r="E81" s="53"/>
      <c r="F81" s="53"/>
      <c r="G81" s="53"/>
    </row>
  </sheetData>
  <mergeCells count="16">
    <mergeCell ref="A1:C1"/>
    <mergeCell ref="A2:C2"/>
    <mergeCell ref="A4:C4"/>
    <mergeCell ref="D4:D5"/>
    <mergeCell ref="E4:E5"/>
    <mergeCell ref="B22:C22"/>
    <mergeCell ref="B26:C26"/>
    <mergeCell ref="B29:C29"/>
    <mergeCell ref="B33:C33"/>
    <mergeCell ref="H4:H5"/>
    <mergeCell ref="A6:C6"/>
    <mergeCell ref="B7:C7"/>
    <mergeCell ref="B10:C10"/>
    <mergeCell ref="B13:C13"/>
    <mergeCell ref="B16:C16"/>
    <mergeCell ref="F4:G4"/>
  </mergeCells>
  <phoneticPr fontId="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2.8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4.75" style="22" hidden="1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649" t="s">
        <v>404</v>
      </c>
      <c r="B1" s="1650"/>
      <c r="C1" s="1650"/>
      <c r="D1" s="21"/>
      <c r="E1" s="93"/>
      <c r="F1" s="23"/>
      <c r="G1" s="23"/>
    </row>
    <row r="2" spans="1:10" s="25" customFormat="1" ht="22.5" customHeight="1" x14ac:dyDescent="0.15">
      <c r="A2" s="1560" t="s">
        <v>415</v>
      </c>
      <c r="B2" s="1560"/>
      <c r="C2" s="1560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244</v>
      </c>
    </row>
    <row r="4" spans="1:10" s="248" customFormat="1" ht="33.75" customHeight="1" x14ac:dyDescent="0.15">
      <c r="A4" s="1714" t="s">
        <v>247</v>
      </c>
      <c r="B4" s="1715"/>
      <c r="C4" s="1715"/>
      <c r="D4" s="1565" t="str">
        <f>[1]다.국도시세입!E4:E5</f>
        <v>당초예산
( A )</v>
      </c>
      <c r="E4" s="1567" t="str">
        <f>[1]다.국도시세입!F4:F5</f>
        <v>1차추경
( B )</v>
      </c>
      <c r="F4" s="1567" t="s">
        <v>250</v>
      </c>
      <c r="G4" s="1567"/>
      <c r="H4" s="1709" t="s">
        <v>407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566"/>
      <c r="E5" s="1568"/>
      <c r="F5" s="34" t="s">
        <v>251</v>
      </c>
      <c r="G5" s="33" t="s">
        <v>252</v>
      </c>
      <c r="H5" s="1710"/>
    </row>
    <row r="6" spans="1:10" s="248" customFormat="1" ht="30" customHeight="1" thickTop="1" x14ac:dyDescent="0.15">
      <c r="A6" s="1576" t="s">
        <v>408</v>
      </c>
      <c r="B6" s="1711"/>
      <c r="C6" s="1711"/>
      <c r="D6" s="252">
        <v>226800000</v>
      </c>
      <c r="E6" s="252">
        <f>E7+E10+E13+E16+E19+E23+E26+E30</f>
        <v>256950000</v>
      </c>
      <c r="F6" s="252">
        <f>F7+F10+F13+F16+F19+F23+F26+F30</f>
        <v>30150000</v>
      </c>
      <c r="G6" s="253">
        <f>F6/D6*100</f>
        <v>13.293650793650794</v>
      </c>
      <c r="H6" s="254"/>
      <c r="J6" s="255">
        <f>E6-'[1]라-2.자부담세출'!F6</f>
        <v>0</v>
      </c>
    </row>
    <row r="7" spans="1:10" s="93" customFormat="1" ht="30" customHeight="1" x14ac:dyDescent="0.15">
      <c r="A7" s="256" t="s">
        <v>254</v>
      </c>
      <c r="B7" s="1707" t="s">
        <v>255</v>
      </c>
      <c r="C7" s="1707"/>
      <c r="D7" s="242">
        <v>134400000</v>
      </c>
      <c r="E7" s="242">
        <f>E8</f>
        <v>134400000</v>
      </c>
      <c r="F7" s="242">
        <f>F8</f>
        <v>0</v>
      </c>
      <c r="G7" s="290">
        <f>F7/D7*100</f>
        <v>0</v>
      </c>
      <c r="H7" s="258"/>
    </row>
    <row r="8" spans="1:10" s="93" customFormat="1" ht="30" customHeight="1" x14ac:dyDescent="0.15">
      <c r="A8" s="259"/>
      <c r="B8" s="245" t="s">
        <v>257</v>
      </c>
      <c r="C8" s="245" t="s">
        <v>258</v>
      </c>
      <c r="D8" s="243">
        <v>134400000</v>
      </c>
      <c r="E8" s="243">
        <f>E9</f>
        <v>134400000</v>
      </c>
      <c r="F8" s="243">
        <f>F9</f>
        <v>0</v>
      </c>
      <c r="G8" s="290">
        <f>F8/D8*100</f>
        <v>0</v>
      </c>
      <c r="H8" s="260"/>
    </row>
    <row r="9" spans="1:10" s="93" customFormat="1" ht="25.5" customHeight="1" x14ac:dyDescent="0.15">
      <c r="A9" s="261"/>
      <c r="B9" s="245"/>
      <c r="C9" s="245" t="s">
        <v>257</v>
      </c>
      <c r="D9" s="243">
        <v>134400000</v>
      </c>
      <c r="E9" s="243">
        <v>134400000</v>
      </c>
      <c r="F9" s="243">
        <f>E9-D9</f>
        <v>0</v>
      </c>
      <c r="G9" s="290">
        <f>F9/D9*100</f>
        <v>0</v>
      </c>
      <c r="H9" s="270" t="s">
        <v>416</v>
      </c>
    </row>
    <row r="10" spans="1:10" s="93" customFormat="1" ht="30" customHeight="1" x14ac:dyDescent="0.15">
      <c r="A10" s="256" t="s">
        <v>260</v>
      </c>
      <c r="B10" s="1707" t="s">
        <v>255</v>
      </c>
      <c r="C10" s="1707"/>
      <c r="D10" s="242">
        <v>0</v>
      </c>
      <c r="E10" s="242">
        <f>E11</f>
        <v>0</v>
      </c>
      <c r="F10" s="242">
        <f>F11</f>
        <v>0</v>
      </c>
      <c r="G10" s="290">
        <v>0</v>
      </c>
      <c r="H10" s="260"/>
    </row>
    <row r="11" spans="1:10" s="93" customFormat="1" ht="30" customHeight="1" x14ac:dyDescent="0.15">
      <c r="A11" s="259"/>
      <c r="B11" s="245" t="s">
        <v>260</v>
      </c>
      <c r="C11" s="245" t="s">
        <v>258</v>
      </c>
      <c r="D11" s="242">
        <v>0</v>
      </c>
      <c r="E11" s="242">
        <f>E12</f>
        <v>0</v>
      </c>
      <c r="F11" s="242">
        <f>F12</f>
        <v>0</v>
      </c>
      <c r="G11" s="290">
        <v>0</v>
      </c>
      <c r="H11" s="260"/>
    </row>
    <row r="12" spans="1:10" s="93" customFormat="1" ht="30" customHeight="1" x14ac:dyDescent="0.15">
      <c r="A12" s="261"/>
      <c r="B12" s="245"/>
      <c r="C12" s="291" t="s">
        <v>262</v>
      </c>
      <c r="D12" s="242">
        <v>0</v>
      </c>
      <c r="E12" s="242">
        <v>0</v>
      </c>
      <c r="F12" s="243">
        <f>E12-D12</f>
        <v>0</v>
      </c>
      <c r="G12" s="290">
        <v>0</v>
      </c>
      <c r="H12" s="292">
        <v>0</v>
      </c>
    </row>
    <row r="13" spans="1:10" s="93" customFormat="1" ht="30" customHeight="1" x14ac:dyDescent="0.15">
      <c r="A13" s="256" t="s">
        <v>264</v>
      </c>
      <c r="B13" s="1707" t="s">
        <v>255</v>
      </c>
      <c r="C13" s="1707"/>
      <c r="D13" s="242">
        <v>0</v>
      </c>
      <c r="E13" s="242">
        <f>E14</f>
        <v>0</v>
      </c>
      <c r="F13" s="242">
        <f>F14</f>
        <v>0</v>
      </c>
      <c r="G13" s="290">
        <v>0</v>
      </c>
      <c r="H13" s="260"/>
    </row>
    <row r="14" spans="1:10" s="93" customFormat="1" ht="30" customHeight="1" x14ac:dyDescent="0.15">
      <c r="A14" s="259"/>
      <c r="B14" s="245" t="s">
        <v>264</v>
      </c>
      <c r="C14" s="245" t="s">
        <v>258</v>
      </c>
      <c r="D14" s="242">
        <v>0</v>
      </c>
      <c r="E14" s="242">
        <f>E15</f>
        <v>0</v>
      </c>
      <c r="F14" s="242">
        <f>F15</f>
        <v>0</v>
      </c>
      <c r="G14" s="290">
        <v>0</v>
      </c>
      <c r="H14" s="260"/>
    </row>
    <row r="15" spans="1:10" s="93" customFormat="1" ht="30" customHeight="1" x14ac:dyDescent="0.15">
      <c r="A15" s="261"/>
      <c r="B15" s="245"/>
      <c r="C15" s="245" t="s">
        <v>264</v>
      </c>
      <c r="D15" s="242">
        <v>0</v>
      </c>
      <c r="E15" s="242">
        <v>0</v>
      </c>
      <c r="F15" s="243">
        <f>E15-D15</f>
        <v>0</v>
      </c>
      <c r="G15" s="290">
        <v>0</v>
      </c>
      <c r="H15" s="260"/>
    </row>
    <row r="16" spans="1:10" s="93" customFormat="1" ht="30" customHeight="1" x14ac:dyDescent="0.15">
      <c r="A16" s="256" t="s">
        <v>268</v>
      </c>
      <c r="B16" s="1707" t="s">
        <v>255</v>
      </c>
      <c r="C16" s="1707"/>
      <c r="D16" s="242">
        <v>0</v>
      </c>
      <c r="E16" s="242">
        <f>E17</f>
        <v>0</v>
      </c>
      <c r="F16" s="242">
        <f>F17</f>
        <v>0</v>
      </c>
      <c r="G16" s="290">
        <v>0</v>
      </c>
      <c r="H16" s="260"/>
    </row>
    <row r="17" spans="1:8" s="93" customFormat="1" ht="30" customHeight="1" x14ac:dyDescent="0.15">
      <c r="A17" s="259"/>
      <c r="B17" s="245"/>
      <c r="C17" s="245" t="s">
        <v>258</v>
      </c>
      <c r="D17" s="242">
        <v>0</v>
      </c>
      <c r="E17" s="242">
        <f>E18</f>
        <v>0</v>
      </c>
      <c r="F17" s="242">
        <f>F18</f>
        <v>0</v>
      </c>
      <c r="G17" s="290">
        <v>0</v>
      </c>
      <c r="H17" s="260"/>
    </row>
    <row r="18" spans="1:8" s="93" customFormat="1" ht="30" customHeight="1" x14ac:dyDescent="0.15">
      <c r="A18" s="261"/>
      <c r="B18" s="245"/>
      <c r="C18" s="245"/>
      <c r="D18" s="242">
        <v>0</v>
      </c>
      <c r="E18" s="242">
        <v>0</v>
      </c>
      <c r="F18" s="242">
        <f>C18-B18</f>
        <v>0</v>
      </c>
      <c r="G18" s="290">
        <v>0</v>
      </c>
      <c r="H18" s="260"/>
    </row>
    <row r="19" spans="1:8" s="93" customFormat="1" ht="30" customHeight="1" x14ac:dyDescent="0.15">
      <c r="A19" s="256" t="s">
        <v>411</v>
      </c>
      <c r="B19" s="1707" t="s">
        <v>255</v>
      </c>
      <c r="C19" s="1707"/>
      <c r="D19" s="243">
        <v>0</v>
      </c>
      <c r="E19" s="243">
        <f>E20</f>
        <v>0</v>
      </c>
      <c r="F19" s="243">
        <f>F20</f>
        <v>0</v>
      </c>
      <c r="G19" s="290">
        <v>0</v>
      </c>
      <c r="H19" s="260"/>
    </row>
    <row r="20" spans="1:8" s="93" customFormat="1" ht="30" customHeight="1" x14ac:dyDescent="0.15">
      <c r="A20" s="259"/>
      <c r="B20" s="245" t="s">
        <v>411</v>
      </c>
      <c r="C20" s="245" t="s">
        <v>258</v>
      </c>
      <c r="D20" s="243">
        <v>0</v>
      </c>
      <c r="E20" s="243">
        <f>SUM(E21:E22)</f>
        <v>0</v>
      </c>
      <c r="F20" s="243">
        <f>SUM(F21:F22)</f>
        <v>0</v>
      </c>
      <c r="G20" s="290">
        <v>0</v>
      </c>
      <c r="H20" s="260"/>
    </row>
    <row r="21" spans="1:8" s="93" customFormat="1" ht="30" customHeight="1" x14ac:dyDescent="0.15">
      <c r="A21" s="268"/>
      <c r="B21" s="269"/>
      <c r="C21" s="245" t="s">
        <v>412</v>
      </c>
      <c r="D21" s="243">
        <v>0</v>
      </c>
      <c r="E21" s="243">
        <v>0</v>
      </c>
      <c r="F21" s="243">
        <f>E21-D21</f>
        <v>0</v>
      </c>
      <c r="G21" s="290">
        <v>0</v>
      </c>
      <c r="H21" s="260"/>
    </row>
    <row r="22" spans="1:8" s="93" customFormat="1" ht="30" customHeight="1" x14ac:dyDescent="0.15">
      <c r="A22" s="268"/>
      <c r="B22" s="273"/>
      <c r="C22" s="245" t="s">
        <v>413</v>
      </c>
      <c r="D22" s="243">
        <v>0</v>
      </c>
      <c r="E22" s="243">
        <v>0</v>
      </c>
      <c r="F22" s="243">
        <f>E22-D22</f>
        <v>0</v>
      </c>
      <c r="G22" s="290">
        <v>0</v>
      </c>
      <c r="H22" s="260"/>
    </row>
    <row r="23" spans="1:8" s="93" customFormat="1" ht="30" customHeight="1" x14ac:dyDescent="0.15">
      <c r="A23" s="256" t="s">
        <v>292</v>
      </c>
      <c r="B23" s="1512" t="s">
        <v>255</v>
      </c>
      <c r="C23" s="1513"/>
      <c r="D23" s="243">
        <v>40000000</v>
      </c>
      <c r="E23" s="243">
        <f>E24</f>
        <v>40000000</v>
      </c>
      <c r="F23" s="243">
        <f>F24</f>
        <v>0</v>
      </c>
      <c r="G23" s="290">
        <f t="shared" ref="G23:G34" si="0">F23/D23*100</f>
        <v>0</v>
      </c>
      <c r="H23" s="260"/>
    </row>
    <row r="24" spans="1:8" s="93" customFormat="1" ht="30" customHeight="1" x14ac:dyDescent="0.15">
      <c r="A24" s="268"/>
      <c r="B24" s="245" t="s">
        <v>292</v>
      </c>
      <c r="C24" s="245" t="s">
        <v>258</v>
      </c>
      <c r="D24" s="243">
        <v>40000000</v>
      </c>
      <c r="E24" s="243">
        <f>E25</f>
        <v>40000000</v>
      </c>
      <c r="F24" s="243">
        <f>F25</f>
        <v>0</v>
      </c>
      <c r="G24" s="290">
        <f t="shared" si="0"/>
        <v>0</v>
      </c>
      <c r="H24" s="260"/>
    </row>
    <row r="25" spans="1:8" s="93" customFormat="1" ht="29.25" customHeight="1" x14ac:dyDescent="0.15">
      <c r="A25" s="268"/>
      <c r="B25" s="245"/>
      <c r="C25" s="245" t="s">
        <v>294</v>
      </c>
      <c r="D25" s="243">
        <v>40000000</v>
      </c>
      <c r="E25" s="243">
        <v>40000000</v>
      </c>
      <c r="F25" s="243">
        <f>E25-D25</f>
        <v>0</v>
      </c>
      <c r="G25" s="290">
        <f t="shared" si="0"/>
        <v>0</v>
      </c>
      <c r="H25" s="270"/>
    </row>
    <row r="26" spans="1:8" s="93" customFormat="1" ht="30" customHeight="1" x14ac:dyDescent="0.15">
      <c r="A26" s="256" t="s">
        <v>295</v>
      </c>
      <c r="B26" s="1707" t="s">
        <v>255</v>
      </c>
      <c r="C26" s="1707"/>
      <c r="D26" s="243">
        <v>6300000</v>
      </c>
      <c r="E26" s="243">
        <f>E27</f>
        <v>22433122</v>
      </c>
      <c r="F26" s="243">
        <f>F27</f>
        <v>16133122</v>
      </c>
      <c r="G26" s="290">
        <f t="shared" si="0"/>
        <v>256.0813015873016</v>
      </c>
      <c r="H26" s="260"/>
    </row>
    <row r="27" spans="1:8" s="93" customFormat="1" ht="30" customHeight="1" x14ac:dyDescent="0.15">
      <c r="A27" s="259"/>
      <c r="B27" s="245" t="s">
        <v>295</v>
      </c>
      <c r="C27" s="245" t="s">
        <v>258</v>
      </c>
      <c r="D27" s="243">
        <v>6300000</v>
      </c>
      <c r="E27" s="243">
        <f>SUM(E28:E29)</f>
        <v>22433122</v>
      </c>
      <c r="F27" s="243">
        <f>SUM(F28:F29)</f>
        <v>16133122</v>
      </c>
      <c r="G27" s="290">
        <f t="shared" si="0"/>
        <v>256.0813015873016</v>
      </c>
      <c r="H27" s="260"/>
    </row>
    <row r="28" spans="1:8" s="93" customFormat="1" ht="62.25" customHeight="1" x14ac:dyDescent="0.15">
      <c r="A28" s="268"/>
      <c r="B28" s="269"/>
      <c r="C28" s="245" t="s">
        <v>296</v>
      </c>
      <c r="D28" s="243">
        <v>6300000</v>
      </c>
      <c r="E28" s="243">
        <f>9105019+3080563+2970859+7098481+160842+17358</f>
        <v>22433122</v>
      </c>
      <c r="F28" s="243">
        <f>E28-D28</f>
        <v>16133122</v>
      </c>
      <c r="G28" s="290">
        <f t="shared" si="0"/>
        <v>256.0813015873016</v>
      </c>
      <c r="H28" s="270" t="s">
        <v>417</v>
      </c>
    </row>
    <row r="29" spans="1:8" s="93" customFormat="1" ht="30" customHeight="1" x14ac:dyDescent="0.15">
      <c r="A29" s="261"/>
      <c r="B29" s="271"/>
      <c r="C29" s="245" t="s">
        <v>298</v>
      </c>
      <c r="D29" s="243">
        <v>0</v>
      </c>
      <c r="E29" s="243">
        <v>0</v>
      </c>
      <c r="F29" s="243">
        <f>E29-D29</f>
        <v>0</v>
      </c>
      <c r="G29" s="290">
        <v>0</v>
      </c>
      <c r="H29" s="260"/>
    </row>
    <row r="30" spans="1:8" s="276" customFormat="1" ht="30" customHeight="1" x14ac:dyDescent="0.15">
      <c r="A30" s="256" t="s">
        <v>299</v>
      </c>
      <c r="B30" s="1707" t="s">
        <v>255</v>
      </c>
      <c r="C30" s="1707"/>
      <c r="D30" s="243">
        <v>46100000</v>
      </c>
      <c r="E30" s="243">
        <f>E31</f>
        <v>60116878</v>
      </c>
      <c r="F30" s="243">
        <f>F31</f>
        <v>14016878</v>
      </c>
      <c r="G30" s="290">
        <f t="shared" si="0"/>
        <v>30.405375271149676</v>
      </c>
      <c r="H30" s="277"/>
    </row>
    <row r="31" spans="1:8" s="276" customFormat="1" ht="30" customHeight="1" x14ac:dyDescent="0.15">
      <c r="A31" s="259"/>
      <c r="B31" s="245" t="s">
        <v>299</v>
      </c>
      <c r="C31" s="245" t="s">
        <v>258</v>
      </c>
      <c r="D31" s="243">
        <v>46100000</v>
      </c>
      <c r="E31" s="243">
        <f>SUM(E32:E34)</f>
        <v>60116878</v>
      </c>
      <c r="F31" s="243">
        <f>SUM(F32:F34)</f>
        <v>14016878</v>
      </c>
      <c r="G31" s="290">
        <f t="shared" si="0"/>
        <v>30.405375271149676</v>
      </c>
      <c r="H31" s="277"/>
    </row>
    <row r="32" spans="1:8" s="248" customFormat="1" ht="30" customHeight="1" x14ac:dyDescent="0.15">
      <c r="A32" s="268"/>
      <c r="B32" s="269"/>
      <c r="C32" s="245" t="s">
        <v>302</v>
      </c>
      <c r="D32" s="243">
        <v>500000</v>
      </c>
      <c r="E32" s="243">
        <v>500000</v>
      </c>
      <c r="F32" s="243">
        <f>E32-D32</f>
        <v>0</v>
      </c>
      <c r="G32" s="290">
        <f t="shared" si="0"/>
        <v>0</v>
      </c>
      <c r="H32" s="278"/>
    </row>
    <row r="33" spans="1:12" s="248" customFormat="1" ht="30" customHeight="1" x14ac:dyDescent="0.15">
      <c r="A33" s="268"/>
      <c r="B33" s="273"/>
      <c r="C33" s="291" t="s">
        <v>304</v>
      </c>
      <c r="D33" s="243">
        <v>550000</v>
      </c>
      <c r="E33" s="243">
        <v>566878</v>
      </c>
      <c r="F33" s="243">
        <f>E33-D33</f>
        <v>16878</v>
      </c>
      <c r="G33" s="290">
        <f t="shared" si="0"/>
        <v>3.0687272727272727</v>
      </c>
      <c r="H33" s="278"/>
    </row>
    <row r="34" spans="1:12" ht="30" customHeight="1" x14ac:dyDescent="0.15">
      <c r="A34" s="279"/>
      <c r="B34" s="280"/>
      <c r="C34" s="281" t="s">
        <v>305</v>
      </c>
      <c r="D34" s="244">
        <v>45050000</v>
      </c>
      <c r="E34" s="244">
        <v>59050000</v>
      </c>
      <c r="F34" s="244">
        <f>E34-D34</f>
        <v>14000000</v>
      </c>
      <c r="G34" s="293">
        <f t="shared" si="0"/>
        <v>31.076581576026634</v>
      </c>
      <c r="H34" s="283" t="s">
        <v>418</v>
      </c>
      <c r="I34" s="93"/>
      <c r="J34" s="93"/>
      <c r="K34" s="93"/>
      <c r="L34" s="93"/>
    </row>
    <row r="35" spans="1:12" ht="18.75" customHeight="1" x14ac:dyDescent="0.15">
      <c r="A35" s="284"/>
      <c r="B35" s="284"/>
      <c r="C35" s="284"/>
      <c r="D35" s="285"/>
      <c r="E35" s="284"/>
      <c r="F35" s="284"/>
      <c r="G35" s="284"/>
      <c r="H35" s="286"/>
      <c r="I35" s="93"/>
      <c r="J35" s="93"/>
      <c r="K35" s="93"/>
      <c r="L35" s="93"/>
    </row>
    <row r="36" spans="1:12" x14ac:dyDescent="0.15">
      <c r="A36" s="53"/>
      <c r="B36" s="53"/>
      <c r="C36" s="53"/>
      <c r="D36" s="287"/>
      <c r="E36" s="53"/>
      <c r="F36" s="53"/>
      <c r="G36" s="53"/>
    </row>
    <row r="37" spans="1:12" x14ac:dyDescent="0.15">
      <c r="A37" s="53"/>
      <c r="B37" s="53"/>
      <c r="C37" s="53"/>
      <c r="D37" s="287"/>
      <c r="E37" s="53"/>
      <c r="F37" s="53"/>
      <c r="G37" s="53"/>
    </row>
    <row r="38" spans="1:12" x14ac:dyDescent="0.15">
      <c r="A38" s="53"/>
      <c r="B38" s="53"/>
      <c r="C38" s="53"/>
      <c r="D38" s="287"/>
      <c r="E38" s="53"/>
      <c r="F38" s="53"/>
      <c r="G38" s="5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</sheetData>
  <mergeCells count="16">
    <mergeCell ref="A1:C1"/>
    <mergeCell ref="A2:C2"/>
    <mergeCell ref="A4:C4"/>
    <mergeCell ref="D4:D5"/>
    <mergeCell ref="E4:E5"/>
    <mergeCell ref="B19:C19"/>
    <mergeCell ref="B23:C23"/>
    <mergeCell ref="B26:C26"/>
    <mergeCell ref="B30:C30"/>
    <mergeCell ref="H4:H5"/>
    <mergeCell ref="A6:C6"/>
    <mergeCell ref="B7:C7"/>
    <mergeCell ref="B10:C10"/>
    <mergeCell ref="B13:C13"/>
    <mergeCell ref="B16:C16"/>
    <mergeCell ref="F4:G4"/>
  </mergeCells>
  <phoneticPr fontId="5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25" workbookViewId="0">
      <selection activeCell="F29" sqref="F29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7.875" style="22" customWidth="1"/>
    <col min="4" max="4" width="12.875" style="22" hidden="1" customWidth="1"/>
    <col min="5" max="6" width="15.25" style="22" customWidth="1"/>
    <col min="7" max="7" width="14.375" style="22" customWidth="1"/>
    <col min="8" max="8" width="7.625" style="22" customWidth="1"/>
    <col min="9" max="9" width="42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1" s="25" customFormat="1" ht="22.5" customHeight="1" x14ac:dyDescent="0.15">
      <c r="A1" s="1649" t="s">
        <v>404</v>
      </c>
      <c r="B1" s="1650"/>
      <c r="C1" s="1650"/>
      <c r="D1" s="294"/>
      <c r="E1" s="93"/>
      <c r="F1" s="93"/>
      <c r="G1" s="23"/>
      <c r="H1" s="23"/>
    </row>
    <row r="2" spans="1:11" s="25" customFormat="1" ht="22.5" customHeight="1" x14ac:dyDescent="0.15">
      <c r="A2" s="1560" t="s">
        <v>419</v>
      </c>
      <c r="B2" s="1560"/>
      <c r="C2" s="1560"/>
      <c r="D2" s="108"/>
      <c r="E2" s="93"/>
      <c r="F2" s="93"/>
      <c r="G2" s="23"/>
      <c r="H2" s="23"/>
    </row>
    <row r="3" spans="1:11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244</v>
      </c>
    </row>
    <row r="4" spans="1:11" s="248" customFormat="1" ht="33.75" customHeight="1" x14ac:dyDescent="0.15">
      <c r="A4" s="1714" t="s">
        <v>247</v>
      </c>
      <c r="B4" s="1715"/>
      <c r="C4" s="1715"/>
      <c r="D4" s="295"/>
      <c r="E4" s="1565" t="str">
        <f>'[1]나.세입세출(총괄)'!D4:D5</f>
        <v>당초예산
( A )</v>
      </c>
      <c r="F4" s="1567" t="str">
        <f>'[1]나.세입세출(총괄)'!E4:E5</f>
        <v>1차추경
( B )</v>
      </c>
      <c r="G4" s="1567" t="s">
        <v>250</v>
      </c>
      <c r="H4" s="1567"/>
      <c r="I4" s="1709" t="s">
        <v>407</v>
      </c>
    </row>
    <row r="5" spans="1:11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296"/>
      <c r="E5" s="1566"/>
      <c r="F5" s="1568"/>
      <c r="G5" s="34" t="s">
        <v>251</v>
      </c>
      <c r="H5" s="33" t="s">
        <v>252</v>
      </c>
      <c r="I5" s="1710"/>
    </row>
    <row r="6" spans="1:11" s="248" customFormat="1" ht="33.75" customHeight="1" thickTop="1" x14ac:dyDescent="0.15">
      <c r="A6" s="1576" t="s">
        <v>408</v>
      </c>
      <c r="B6" s="1711"/>
      <c r="C6" s="1711"/>
      <c r="D6" s="289"/>
      <c r="E6" s="252">
        <v>2415800000</v>
      </c>
      <c r="F6" s="252">
        <f>F7+F10+F13+F32+F36</f>
        <v>2767810000</v>
      </c>
      <c r="G6" s="252">
        <f>G7+G10+G13+G32+G36</f>
        <v>352010000</v>
      </c>
      <c r="H6" s="297">
        <f>G6/E6*100</f>
        <v>14.571156552694758</v>
      </c>
      <c r="I6" s="254"/>
      <c r="J6" s="255">
        <f>E6-[1]라.국도비세출!E6</f>
        <v>0</v>
      </c>
      <c r="K6" s="255">
        <f>F6-[1]라.국도비세출!F6</f>
        <v>0</v>
      </c>
    </row>
    <row r="7" spans="1:11" s="93" customFormat="1" ht="29.25" customHeight="1" x14ac:dyDescent="0.15">
      <c r="A7" s="256" t="s">
        <v>254</v>
      </c>
      <c r="B7" s="1707" t="s">
        <v>255</v>
      </c>
      <c r="C7" s="1707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</row>
    <row r="8" spans="1:11" s="93" customFormat="1" ht="29.25" customHeight="1" x14ac:dyDescent="0.15">
      <c r="A8" s="259"/>
      <c r="B8" s="245" t="s">
        <v>257</v>
      </c>
      <c r="C8" s="245" t="s">
        <v>258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</row>
    <row r="9" spans="1:11" s="93" customFormat="1" ht="29.25" customHeight="1" x14ac:dyDescent="0.15">
      <c r="A9" s="261"/>
      <c r="B9" s="245"/>
      <c r="C9" s="245" t="s">
        <v>257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</row>
    <row r="10" spans="1:11" s="93" customFormat="1" ht="29.25" customHeight="1" x14ac:dyDescent="0.15">
      <c r="A10" s="256" t="s">
        <v>264</v>
      </c>
      <c r="B10" s="1707" t="s">
        <v>255</v>
      </c>
      <c r="C10" s="1707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</row>
    <row r="11" spans="1:11" s="93" customFormat="1" ht="29.25" customHeight="1" x14ac:dyDescent="0.15">
      <c r="A11" s="259"/>
      <c r="B11" s="245" t="s">
        <v>264</v>
      </c>
      <c r="C11" s="245" t="s">
        <v>258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</row>
    <row r="12" spans="1:11" s="93" customFormat="1" ht="29.25" customHeight="1" x14ac:dyDescent="0.15">
      <c r="A12" s="261"/>
      <c r="B12" s="245"/>
      <c r="C12" s="245" t="s">
        <v>264</v>
      </c>
      <c r="D12" s="196"/>
      <c r="E12" s="242">
        <v>0</v>
      </c>
      <c r="F12" s="242">
        <v>0</v>
      </c>
      <c r="G12" s="243">
        <f t="shared" ref="G12:G19" si="0">F12-E12</f>
        <v>0</v>
      </c>
      <c r="H12" s="246">
        <v>0</v>
      </c>
      <c r="I12" s="260"/>
      <c r="K12" s="300"/>
    </row>
    <row r="13" spans="1:11" s="93" customFormat="1" ht="33.75" customHeight="1" x14ac:dyDescent="0.15">
      <c r="A13" s="256" t="s">
        <v>268</v>
      </c>
      <c r="B13" s="1707" t="s">
        <v>255</v>
      </c>
      <c r="C13" s="1707"/>
      <c r="D13" s="298"/>
      <c r="E13" s="243">
        <v>2390052520</v>
      </c>
      <c r="F13" s="243">
        <f>SUM(F14,F25)</f>
        <v>2762069390</v>
      </c>
      <c r="G13" s="243">
        <f t="shared" si="0"/>
        <v>372016870</v>
      </c>
      <c r="H13" s="246">
        <f>G13/E13*100</f>
        <v>15.565217370202392</v>
      </c>
      <c r="I13" s="260"/>
    </row>
    <row r="14" spans="1:11" s="93" customFormat="1" ht="33.75" customHeight="1" x14ac:dyDescent="0.15">
      <c r="A14" s="259"/>
      <c r="B14" s="245" t="s">
        <v>268</v>
      </c>
      <c r="C14" s="245" t="s">
        <v>258</v>
      </c>
      <c r="D14" s="196"/>
      <c r="E14" s="243">
        <v>2390052520</v>
      </c>
      <c r="F14" s="243">
        <f>SUM(F15,F20)</f>
        <v>2762069390</v>
      </c>
      <c r="G14" s="243">
        <f t="shared" si="0"/>
        <v>372016870</v>
      </c>
      <c r="H14" s="246">
        <f>G14/E14*100</f>
        <v>15.565217370202392</v>
      </c>
      <c r="I14" s="260"/>
    </row>
    <row r="15" spans="1:11" s="93" customFormat="1" ht="60.75" customHeight="1" x14ac:dyDescent="0.15">
      <c r="A15" s="268"/>
      <c r="B15" s="269"/>
      <c r="C15" s="301" t="s">
        <v>420</v>
      </c>
      <c r="D15" s="302" t="s">
        <v>421</v>
      </c>
      <c r="E15" s="243">
        <v>1672616764</v>
      </c>
      <c r="F15" s="243">
        <f>SUM(F16:F19)</f>
        <v>1933028813</v>
      </c>
      <c r="G15" s="243">
        <f t="shared" si="0"/>
        <v>260412049</v>
      </c>
      <c r="H15" s="246">
        <f>G15/E15*100</f>
        <v>15.569140200247331</v>
      </c>
      <c r="I15" s="303" t="s">
        <v>422</v>
      </c>
    </row>
    <row r="16" spans="1:11" s="93" customFormat="1" ht="33.75" customHeight="1" x14ac:dyDescent="0.15">
      <c r="A16" s="268"/>
      <c r="B16" s="273"/>
      <c r="C16" s="245" t="s">
        <v>397</v>
      </c>
      <c r="D16" s="196" t="str">
        <f>[1]라.국도비세출!B8</f>
        <v>인건비</v>
      </c>
      <c r="E16" s="243">
        <v>1507743916</v>
      </c>
      <c r="F16" s="243">
        <f>([1]라.국도비세출!F9+[1]라.국도비세출!F11+[1]라.국도비세출!F12+[1]라.국도비세출!F13+[1]라.국도비세출!F15+[1]라.국도비세출!F16)*70%</f>
        <v>1762191473</v>
      </c>
      <c r="G16" s="243">
        <f t="shared" si="0"/>
        <v>254447557</v>
      </c>
      <c r="H16" s="246">
        <f t="shared" ref="H16:H39" si="1">G16/E16*100</f>
        <v>16.876046011516454</v>
      </c>
      <c r="I16" s="304"/>
    </row>
    <row r="17" spans="1:13" ht="33.75" customHeight="1" x14ac:dyDescent="0.15">
      <c r="A17" s="268"/>
      <c r="B17" s="273"/>
      <c r="C17" s="245" t="s">
        <v>398</v>
      </c>
      <c r="D17" s="196" t="s">
        <v>270</v>
      </c>
      <c r="E17" s="243">
        <v>69769000</v>
      </c>
      <c r="F17" s="243">
        <f>[1]라.국도비세출!Q7*70%</f>
        <v>71270500</v>
      </c>
      <c r="G17" s="243">
        <f t="shared" si="0"/>
        <v>1501500</v>
      </c>
      <c r="H17" s="246">
        <f t="shared" si="1"/>
        <v>2.1521019363900873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 t="s">
        <v>399</v>
      </c>
      <c r="D18" s="196" t="s">
        <v>286</v>
      </c>
      <c r="E18" s="243">
        <v>94053848</v>
      </c>
      <c r="F18" s="243">
        <f>[1]라.국도비세출!F43*70%</f>
        <v>98517440</v>
      </c>
      <c r="G18" s="243">
        <f t="shared" si="0"/>
        <v>4463592</v>
      </c>
      <c r="H18" s="246">
        <f t="shared" si="1"/>
        <v>4.7457835005325881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3"/>
      <c r="C19" s="245" t="s">
        <v>400</v>
      </c>
      <c r="D19" s="196"/>
      <c r="E19" s="243">
        <v>1050000</v>
      </c>
      <c r="F19" s="243">
        <f>[1]라.국도비세출!F52/2</f>
        <v>1049400</v>
      </c>
      <c r="G19" s="243">
        <f t="shared" si="0"/>
        <v>-600</v>
      </c>
      <c r="H19" s="246">
        <v>0</v>
      </c>
      <c r="I19" s="304"/>
      <c r="J19" s="93"/>
      <c r="K19" s="93"/>
      <c r="L19" s="93"/>
      <c r="M19" s="93"/>
    </row>
    <row r="20" spans="1:13" ht="56.25" customHeight="1" x14ac:dyDescent="0.15">
      <c r="A20" s="268"/>
      <c r="B20" s="273"/>
      <c r="C20" s="301" t="s">
        <v>423</v>
      </c>
      <c r="D20" s="302" t="s">
        <v>421</v>
      </c>
      <c r="E20" s="243">
        <v>717435756</v>
      </c>
      <c r="F20" s="243">
        <f>SUM(F21:F24)</f>
        <v>829040577</v>
      </c>
      <c r="G20" s="243">
        <f>F20-E20</f>
        <v>111604821</v>
      </c>
      <c r="H20" s="246">
        <f t="shared" si="1"/>
        <v>15.556071755085481</v>
      </c>
      <c r="I20" s="303" t="s">
        <v>424</v>
      </c>
      <c r="J20" s="93"/>
      <c r="K20" s="93"/>
      <c r="L20" s="93"/>
      <c r="M20" s="93"/>
    </row>
    <row r="21" spans="1:13" ht="33.75" customHeight="1" x14ac:dyDescent="0.15">
      <c r="A21" s="268"/>
      <c r="B21" s="273"/>
      <c r="C21" s="245" t="s">
        <v>401</v>
      </c>
      <c r="D21" s="196" t="str">
        <f>D16</f>
        <v>인건비</v>
      </c>
      <c r="E21" s="243">
        <v>646175964</v>
      </c>
      <c r="F21" s="243">
        <f>([1]라.국도비세출!F9+[1]라.국도비세출!F11+[1]라.국도비세출!F12+[1]라.국도비세출!F13+[1]라.국도비세출!F15+[1]라.국도비세출!F16)*30%</f>
        <v>755224917</v>
      </c>
      <c r="G21" s="243">
        <f t="shared" ref="G21:G31" si="2">F21-E21</f>
        <v>109048953</v>
      </c>
      <c r="H21" s="246">
        <f t="shared" si="1"/>
        <v>16.876046011516454</v>
      </c>
      <c r="I21" s="260"/>
      <c r="J21" s="93"/>
      <c r="K21" s="93"/>
      <c r="L21" s="93"/>
      <c r="M21" s="93"/>
    </row>
    <row r="22" spans="1:13" ht="33.75" customHeight="1" x14ac:dyDescent="0.15">
      <c r="A22" s="268"/>
      <c r="B22" s="273"/>
      <c r="C22" s="245" t="s">
        <v>402</v>
      </c>
      <c r="D22" s="196" t="str">
        <f>D17</f>
        <v>운영비</v>
      </c>
      <c r="E22" s="243">
        <v>29901000</v>
      </c>
      <c r="F22" s="243">
        <f>[1]라.국도비세출!Q7*30%</f>
        <v>30544500</v>
      </c>
      <c r="G22" s="243">
        <f t="shared" si="2"/>
        <v>643500</v>
      </c>
      <c r="H22" s="246">
        <f t="shared" si="1"/>
        <v>2.1521019363900873</v>
      </c>
      <c r="I22" s="260"/>
      <c r="J22" s="93"/>
      <c r="K22" s="93"/>
      <c r="L22" s="93"/>
      <c r="M22" s="93"/>
    </row>
    <row r="23" spans="1:13" ht="33.75" customHeight="1" x14ac:dyDescent="0.15">
      <c r="A23" s="268"/>
      <c r="B23" s="271"/>
      <c r="C23" s="245" t="s">
        <v>403</v>
      </c>
      <c r="D23" s="196" t="str">
        <f>D18</f>
        <v>생계비</v>
      </c>
      <c r="E23" s="243">
        <v>40308792</v>
      </c>
      <c r="F23" s="243">
        <f>[1]라.국도비세출!F43*30%</f>
        <v>42221760</v>
      </c>
      <c r="G23" s="243">
        <f t="shared" si="2"/>
        <v>1912968</v>
      </c>
      <c r="H23" s="246">
        <f t="shared" si="1"/>
        <v>4.7457835005325881</v>
      </c>
      <c r="I23" s="260"/>
      <c r="J23" s="93"/>
      <c r="K23" s="93"/>
      <c r="L23" s="93"/>
      <c r="M23" s="93"/>
    </row>
    <row r="24" spans="1:13" ht="33.75" customHeight="1" x14ac:dyDescent="0.15">
      <c r="A24" s="268"/>
      <c r="B24" s="271"/>
      <c r="C24" s="245" t="s">
        <v>400</v>
      </c>
      <c r="D24" s="196"/>
      <c r="E24" s="243">
        <v>1050000</v>
      </c>
      <c r="F24" s="243">
        <f>[1]라.국도비세출!F52/2</f>
        <v>1049400</v>
      </c>
      <c r="G24" s="243">
        <f>F24-E24</f>
        <v>-600</v>
      </c>
      <c r="H24" s="246">
        <v>0</v>
      </c>
      <c r="I24" s="305"/>
      <c r="J24" s="93"/>
      <c r="K24" s="93"/>
      <c r="L24" s="93"/>
      <c r="M24" s="93"/>
    </row>
    <row r="25" spans="1:13" ht="33.75" customHeight="1" x14ac:dyDescent="0.15">
      <c r="A25" s="268"/>
      <c r="B25" s="245" t="s">
        <v>425</v>
      </c>
      <c r="C25" s="245" t="s">
        <v>258</v>
      </c>
      <c r="D25" s="302" t="s">
        <v>421</v>
      </c>
      <c r="E25" s="243"/>
      <c r="F25" s="243"/>
      <c r="G25" s="243">
        <f>F25-E25</f>
        <v>0</v>
      </c>
      <c r="H25" s="246" t="e">
        <f t="shared" si="1"/>
        <v>#DIV/0!</v>
      </c>
      <c r="I25" s="305"/>
      <c r="J25" s="93"/>
      <c r="K25" s="93"/>
      <c r="L25" s="93"/>
      <c r="M25" s="93"/>
    </row>
    <row r="26" spans="1:13" ht="33.75" customHeight="1" x14ac:dyDescent="0.15">
      <c r="A26" s="268"/>
      <c r="B26" s="245"/>
      <c r="C26" s="245" t="s">
        <v>425</v>
      </c>
      <c r="D26" s="306"/>
      <c r="E26" s="243"/>
      <c r="F26" s="243"/>
      <c r="G26" s="243">
        <f>F26-E26</f>
        <v>0</v>
      </c>
      <c r="H26" s="246" t="e">
        <f t="shared" si="1"/>
        <v>#DIV/0!</v>
      </c>
      <c r="I26" s="307"/>
      <c r="J26" s="93"/>
      <c r="K26" s="93"/>
      <c r="L26" s="93"/>
      <c r="M26" s="93"/>
    </row>
    <row r="27" spans="1:13" ht="33.75" customHeight="1" x14ac:dyDescent="0.15">
      <c r="A27" s="268"/>
      <c r="B27" s="245"/>
      <c r="C27" s="245"/>
      <c r="D27" s="196"/>
      <c r="E27" s="243"/>
      <c r="F27" s="243"/>
      <c r="G27" s="243"/>
      <c r="H27" s="246" t="e">
        <f t="shared" si="1"/>
        <v>#DIV/0!</v>
      </c>
      <c r="I27" s="305"/>
      <c r="J27" s="93"/>
      <c r="K27" s="93"/>
      <c r="L27" s="93"/>
      <c r="M27" s="93"/>
    </row>
    <row r="28" spans="1:13" ht="33.75" customHeight="1" x14ac:dyDescent="0.15">
      <c r="A28" s="268"/>
      <c r="B28" s="269"/>
      <c r="C28" s="245"/>
      <c r="D28" s="308"/>
      <c r="E28" s="243"/>
      <c r="F28" s="243"/>
      <c r="G28" s="243">
        <f t="shared" si="2"/>
        <v>0</v>
      </c>
      <c r="H28" s="246" t="e">
        <f t="shared" si="1"/>
        <v>#DIV/0!</v>
      </c>
      <c r="I28" s="260"/>
      <c r="J28" s="93"/>
      <c r="K28" s="93"/>
      <c r="L28" s="93"/>
      <c r="M28" s="93"/>
    </row>
    <row r="29" spans="1:13" ht="33.75" customHeight="1" x14ac:dyDescent="0.15">
      <c r="A29" s="268"/>
      <c r="B29" s="273"/>
      <c r="C29" s="245"/>
      <c r="D29" s="308"/>
      <c r="E29" s="243">
        <v>0</v>
      </c>
      <c r="F29" s="243">
        <v>0</v>
      </c>
      <c r="G29" s="243">
        <f t="shared" si="2"/>
        <v>0</v>
      </c>
      <c r="H29" s="246" t="e">
        <f t="shared" si="1"/>
        <v>#DIV/0!</v>
      </c>
      <c r="I29" s="292"/>
      <c r="J29" s="93"/>
      <c r="K29" s="93"/>
      <c r="L29" s="93"/>
      <c r="M29" s="93"/>
    </row>
    <row r="30" spans="1:13" ht="33.75" customHeight="1" x14ac:dyDescent="0.15">
      <c r="A30" s="268"/>
      <c r="B30" s="273"/>
      <c r="C30" s="245"/>
      <c r="D30" s="196"/>
      <c r="E30" s="243"/>
      <c r="F30" s="243"/>
      <c r="G30" s="243">
        <f t="shared" si="2"/>
        <v>0</v>
      </c>
      <c r="H30" s="246" t="e">
        <f t="shared" si="1"/>
        <v>#DIV/0!</v>
      </c>
      <c r="I30" s="309"/>
      <c r="J30" s="93"/>
      <c r="K30" s="93"/>
      <c r="L30" s="93"/>
      <c r="M30" s="93"/>
    </row>
    <row r="31" spans="1:13" ht="33.75" customHeight="1" x14ac:dyDescent="0.15">
      <c r="A31" s="261"/>
      <c r="B31" s="271"/>
      <c r="C31" s="245"/>
      <c r="D31" s="196"/>
      <c r="E31" s="243">
        <v>0</v>
      </c>
      <c r="F31" s="243">
        <v>0</v>
      </c>
      <c r="G31" s="243">
        <f t="shared" si="2"/>
        <v>0</v>
      </c>
      <c r="H31" s="246" t="e">
        <f t="shared" si="1"/>
        <v>#DIV/0!</v>
      </c>
      <c r="I31" s="309"/>
      <c r="J31" s="93"/>
      <c r="K31" s="93"/>
      <c r="L31" s="93"/>
      <c r="M31" s="93"/>
    </row>
    <row r="32" spans="1:13" ht="30" customHeight="1" x14ac:dyDescent="0.15">
      <c r="A32" s="256" t="s">
        <v>295</v>
      </c>
      <c r="B32" s="1707" t="s">
        <v>255</v>
      </c>
      <c r="C32" s="1707"/>
      <c r="D32" s="298"/>
      <c r="E32" s="243">
        <v>25205000</v>
      </c>
      <c r="F32" s="243">
        <f>F33</f>
        <v>5170000</v>
      </c>
      <c r="G32" s="243">
        <f>G33</f>
        <v>-20035000</v>
      </c>
      <c r="H32" s="246">
        <f t="shared" si="1"/>
        <v>-79.488196786351921</v>
      </c>
      <c r="I32" s="260"/>
      <c r="J32" s="93"/>
      <c r="K32" s="93"/>
      <c r="L32" s="93"/>
      <c r="M32" s="93"/>
    </row>
    <row r="33" spans="1:13" ht="30" customHeight="1" x14ac:dyDescent="0.15">
      <c r="A33" s="259"/>
      <c r="B33" s="245" t="s">
        <v>295</v>
      </c>
      <c r="C33" s="245" t="s">
        <v>258</v>
      </c>
      <c r="D33" s="196"/>
      <c r="E33" s="243">
        <v>25205000</v>
      </c>
      <c r="F33" s="243">
        <f>SUM(F34:F35)</f>
        <v>5170000</v>
      </c>
      <c r="G33" s="243">
        <f>SUM(G34:G35)</f>
        <v>-20035000</v>
      </c>
      <c r="H33" s="246">
        <f>G33/E33*100</f>
        <v>-79.488196786351921</v>
      </c>
      <c r="I33" s="260"/>
      <c r="J33" s="93"/>
      <c r="K33" s="93"/>
      <c r="L33" s="93"/>
      <c r="M33" s="93"/>
    </row>
    <row r="34" spans="1:13" ht="45.75" customHeight="1" x14ac:dyDescent="0.15">
      <c r="A34" s="268"/>
      <c r="B34" s="269"/>
      <c r="C34" s="245" t="s">
        <v>296</v>
      </c>
      <c r="D34" s="122"/>
      <c r="E34" s="243">
        <v>25205000</v>
      </c>
      <c r="F34" s="243">
        <v>5170000</v>
      </c>
      <c r="G34" s="243">
        <f>F34-E34</f>
        <v>-20035000</v>
      </c>
      <c r="H34" s="246">
        <f t="shared" si="1"/>
        <v>-79.488196786351921</v>
      </c>
      <c r="I34" s="310" t="s">
        <v>426</v>
      </c>
      <c r="J34" s="93"/>
      <c r="K34" s="93"/>
      <c r="L34" s="93"/>
      <c r="M34" s="93"/>
    </row>
    <row r="35" spans="1:13" ht="33.75" hidden="1" customHeight="1" x14ac:dyDescent="0.15">
      <c r="A35" s="261"/>
      <c r="B35" s="271"/>
      <c r="C35" s="245" t="s">
        <v>298</v>
      </c>
      <c r="D35" s="196"/>
      <c r="E35" s="243">
        <v>0</v>
      </c>
      <c r="F35" s="243">
        <v>0</v>
      </c>
      <c r="G35" s="243">
        <f>F35-E35</f>
        <v>0</v>
      </c>
      <c r="H35" s="246" t="e">
        <f t="shared" si="1"/>
        <v>#DIV/0!</v>
      </c>
      <c r="I35" s="260"/>
      <c r="J35" s="93"/>
      <c r="K35" s="93"/>
      <c r="L35" s="93"/>
      <c r="M35" s="93"/>
    </row>
    <row r="36" spans="1:13" s="276" customFormat="1" ht="33.75" customHeight="1" x14ac:dyDescent="0.15">
      <c r="A36" s="256" t="s">
        <v>299</v>
      </c>
      <c r="B36" s="1707" t="s">
        <v>255</v>
      </c>
      <c r="C36" s="1707"/>
      <c r="D36" s="298"/>
      <c r="E36" s="243">
        <v>542480</v>
      </c>
      <c r="F36" s="243">
        <f>F37</f>
        <v>570610</v>
      </c>
      <c r="G36" s="243">
        <f>G37</f>
        <v>28130</v>
      </c>
      <c r="H36" s="246">
        <f t="shared" si="1"/>
        <v>5.1854446246866237</v>
      </c>
      <c r="I36" s="277"/>
    </row>
    <row r="37" spans="1:13" s="276" customFormat="1" ht="33.75" customHeight="1" x14ac:dyDescent="0.15">
      <c r="A37" s="259"/>
      <c r="B37" s="245" t="s">
        <v>299</v>
      </c>
      <c r="C37" s="245" t="s">
        <v>258</v>
      </c>
      <c r="D37" s="196"/>
      <c r="E37" s="243">
        <v>542480</v>
      </c>
      <c r="F37" s="243">
        <f>SUM(F38:F40)</f>
        <v>570610</v>
      </c>
      <c r="G37" s="243">
        <f>SUM(G38:G40)</f>
        <v>28130</v>
      </c>
      <c r="H37" s="246">
        <f t="shared" si="1"/>
        <v>5.1854446246866237</v>
      </c>
      <c r="I37" s="277"/>
    </row>
    <row r="38" spans="1:13" s="248" customFormat="1" ht="33.75" customHeight="1" x14ac:dyDescent="0.15">
      <c r="A38" s="268"/>
      <c r="B38" s="269"/>
      <c r="C38" s="245" t="s">
        <v>302</v>
      </c>
      <c r="D38" s="122"/>
      <c r="E38" s="243">
        <v>0</v>
      </c>
      <c r="F38" s="243">
        <v>0</v>
      </c>
      <c r="G38" s="243">
        <f>F38-E38</f>
        <v>0</v>
      </c>
      <c r="H38" s="246">
        <v>0</v>
      </c>
      <c r="I38" s="278"/>
    </row>
    <row r="39" spans="1:13" s="248" customFormat="1" ht="33.75" customHeight="1" x14ac:dyDescent="0.15">
      <c r="A39" s="268"/>
      <c r="B39" s="273"/>
      <c r="C39" s="245" t="s">
        <v>304</v>
      </c>
      <c r="D39" s="308"/>
      <c r="E39" s="243">
        <v>542480</v>
      </c>
      <c r="F39" s="243">
        <f>[1]라.국도비세출!F58</f>
        <v>570610</v>
      </c>
      <c r="G39" s="243">
        <f>F39-E39</f>
        <v>28130</v>
      </c>
      <c r="H39" s="246">
        <f t="shared" si="1"/>
        <v>5.1854446246866237</v>
      </c>
      <c r="I39" s="278"/>
    </row>
    <row r="40" spans="1:13" ht="33.75" customHeight="1" x14ac:dyDescent="0.15">
      <c r="A40" s="279"/>
      <c r="B40" s="280"/>
      <c r="C40" s="281" t="s">
        <v>305</v>
      </c>
      <c r="D40" s="311"/>
      <c r="E40" s="244">
        <v>0</v>
      </c>
      <c r="F40" s="244">
        <v>0</v>
      </c>
      <c r="G40" s="244">
        <f>F40-E40</f>
        <v>0</v>
      </c>
      <c r="H40" s="312">
        <v>0</v>
      </c>
      <c r="I40" s="313"/>
      <c r="J40" s="93"/>
      <c r="K40" s="93"/>
      <c r="L40" s="93"/>
      <c r="M40" s="93"/>
    </row>
    <row r="41" spans="1:13" ht="23.25" customHeight="1" x14ac:dyDescent="0.15">
      <c r="A41" s="284"/>
      <c r="B41" s="284"/>
      <c r="C41" s="284"/>
      <c r="D41" s="284"/>
      <c r="E41" s="314"/>
      <c r="F41" s="315"/>
      <c r="G41" s="315"/>
      <c r="H41" s="284"/>
      <c r="I41" s="286"/>
      <c r="J41" s="93"/>
      <c r="K41" s="93"/>
      <c r="L41" s="93"/>
      <c r="M41" s="93"/>
    </row>
    <row r="42" spans="1:13" x14ac:dyDescent="0.15">
      <c r="A42" s="53"/>
      <c r="B42" s="53"/>
      <c r="C42" s="53"/>
      <c r="D42" s="53"/>
      <c r="E42" s="185"/>
      <c r="F42" s="185"/>
      <c r="G42" s="185"/>
      <c r="H42" s="53"/>
    </row>
    <row r="43" spans="1:13" x14ac:dyDescent="0.15">
      <c r="A43" s="53"/>
      <c r="B43" s="53"/>
      <c r="C43" s="53"/>
      <c r="D43" s="53"/>
      <c r="E43" s="185"/>
      <c r="F43" s="185"/>
      <c r="G43" s="185"/>
      <c r="H43" s="53"/>
    </row>
    <row r="44" spans="1:13" x14ac:dyDescent="0.15">
      <c r="A44" s="53"/>
      <c r="B44" s="53"/>
      <c r="C44" s="53"/>
      <c r="D44" s="53"/>
      <c r="E44" s="185"/>
      <c r="F44" s="185"/>
      <c r="G44" s="185"/>
      <c r="H44" s="53"/>
    </row>
    <row r="45" spans="1:13" x14ac:dyDescent="0.15">
      <c r="A45" s="53"/>
      <c r="B45" s="53"/>
      <c r="C45" s="53"/>
      <c r="D45" s="53"/>
      <c r="E45" s="185"/>
      <c r="F45" s="185"/>
      <c r="G45" s="185"/>
      <c r="H45" s="53"/>
    </row>
    <row r="46" spans="1:13" x14ac:dyDescent="0.15">
      <c r="A46" s="53"/>
      <c r="B46" s="53"/>
      <c r="C46" s="53"/>
      <c r="D46" s="53"/>
      <c r="E46" s="185"/>
      <c r="F46" s="185"/>
      <c r="G46" s="185"/>
      <c r="H46" s="53"/>
    </row>
    <row r="47" spans="1:13" x14ac:dyDescent="0.15">
      <c r="A47" s="53"/>
      <c r="B47" s="53"/>
      <c r="C47" s="53"/>
      <c r="D47" s="53"/>
      <c r="E47" s="185"/>
      <c r="F47" s="185"/>
      <c r="G47" s="185"/>
      <c r="H47" s="53"/>
    </row>
    <row r="48" spans="1:13" x14ac:dyDescent="0.15">
      <c r="A48" s="53"/>
      <c r="B48" s="53"/>
      <c r="C48" s="53"/>
      <c r="D48" s="53"/>
      <c r="E48" s="185"/>
      <c r="F48" s="185"/>
      <c r="G48" s="185"/>
      <c r="H48" s="53"/>
    </row>
    <row r="49" spans="1:8" x14ac:dyDescent="0.15">
      <c r="A49" s="53"/>
      <c r="B49" s="53"/>
      <c r="C49" s="53"/>
      <c r="D49" s="53"/>
      <c r="E49" s="53"/>
      <c r="F49" s="53"/>
      <c r="G49" s="53"/>
      <c r="H49" s="53"/>
    </row>
    <row r="50" spans="1:8" x14ac:dyDescent="0.15">
      <c r="A50" s="53"/>
      <c r="B50" s="53"/>
      <c r="C50" s="53"/>
      <c r="D50" s="53"/>
      <c r="E50" s="53"/>
      <c r="F50" s="53"/>
      <c r="G50" s="53"/>
      <c r="H50" s="53"/>
    </row>
    <row r="51" spans="1:8" x14ac:dyDescent="0.15">
      <c r="A51" s="53"/>
      <c r="B51" s="53"/>
      <c r="C51" s="53"/>
      <c r="D51" s="53"/>
      <c r="E51" s="53"/>
      <c r="F51" s="53"/>
      <c r="G51" s="53"/>
      <c r="H51" s="53"/>
    </row>
    <row r="52" spans="1:8" x14ac:dyDescent="0.15">
      <c r="A52" s="53"/>
      <c r="B52" s="53"/>
      <c r="C52" s="53"/>
      <c r="D52" s="53"/>
      <c r="E52" s="53"/>
      <c r="F52" s="53"/>
      <c r="G52" s="53"/>
      <c r="H52" s="53"/>
    </row>
    <row r="53" spans="1:8" x14ac:dyDescent="0.15">
      <c r="A53" s="53"/>
      <c r="B53" s="53"/>
      <c r="C53" s="53"/>
      <c r="D53" s="53"/>
      <c r="E53" s="53"/>
      <c r="F53" s="53"/>
      <c r="G53" s="53"/>
      <c r="H53" s="53"/>
    </row>
    <row r="54" spans="1:8" x14ac:dyDescent="0.15">
      <c r="A54" s="53"/>
      <c r="B54" s="53"/>
      <c r="C54" s="53"/>
      <c r="D54" s="53"/>
      <c r="E54" s="53"/>
      <c r="F54" s="53"/>
      <c r="G54" s="53"/>
      <c r="H54" s="53"/>
    </row>
    <row r="55" spans="1:8" x14ac:dyDescent="0.15">
      <c r="A55" s="53"/>
      <c r="B55" s="53"/>
      <c r="C55" s="53"/>
      <c r="D55" s="53"/>
      <c r="E55" s="53"/>
      <c r="F55" s="53"/>
      <c r="G55" s="53"/>
      <c r="H55" s="53"/>
    </row>
    <row r="56" spans="1:8" x14ac:dyDescent="0.15">
      <c r="A56" s="53"/>
      <c r="B56" s="53"/>
      <c r="C56" s="53"/>
      <c r="D56" s="53"/>
      <c r="E56" s="53"/>
      <c r="F56" s="53"/>
      <c r="G56" s="53"/>
      <c r="H56" s="53"/>
    </row>
    <row r="57" spans="1:8" x14ac:dyDescent="0.15">
      <c r="A57" s="53"/>
      <c r="B57" s="53"/>
      <c r="C57" s="53"/>
      <c r="D57" s="53"/>
      <c r="E57" s="53"/>
      <c r="F57" s="53"/>
      <c r="G57" s="53"/>
      <c r="H57" s="53"/>
    </row>
    <row r="58" spans="1:8" x14ac:dyDescent="0.15">
      <c r="A58" s="53"/>
      <c r="B58" s="53"/>
      <c r="C58" s="53"/>
      <c r="D58" s="53"/>
      <c r="E58" s="53"/>
      <c r="F58" s="53"/>
      <c r="G58" s="53"/>
      <c r="H58" s="53"/>
    </row>
    <row r="59" spans="1:8" x14ac:dyDescent="0.15">
      <c r="A59" s="53"/>
      <c r="B59" s="53"/>
      <c r="C59" s="53"/>
      <c r="D59" s="53"/>
      <c r="E59" s="53"/>
      <c r="F59" s="53"/>
      <c r="G59" s="53"/>
      <c r="H59" s="53"/>
    </row>
    <row r="60" spans="1:8" x14ac:dyDescent="0.15">
      <c r="A60" s="53"/>
      <c r="B60" s="53"/>
      <c r="C60" s="53"/>
      <c r="D60" s="53"/>
      <c r="E60" s="53"/>
      <c r="F60" s="53"/>
      <c r="G60" s="53"/>
      <c r="H60" s="53"/>
    </row>
    <row r="61" spans="1:8" x14ac:dyDescent="0.15">
      <c r="A61" s="53"/>
      <c r="B61" s="53"/>
      <c r="C61" s="53"/>
      <c r="D61" s="53"/>
      <c r="E61" s="53"/>
      <c r="F61" s="53"/>
      <c r="G61" s="53"/>
      <c r="H61" s="53"/>
    </row>
    <row r="62" spans="1:8" x14ac:dyDescent="0.15">
      <c r="A62" s="53"/>
      <c r="B62" s="53"/>
      <c r="C62" s="53"/>
      <c r="D62" s="53"/>
      <c r="E62" s="53"/>
      <c r="F62" s="53"/>
      <c r="G62" s="53"/>
      <c r="H62" s="53"/>
    </row>
    <row r="63" spans="1:8" x14ac:dyDescent="0.15">
      <c r="A63" s="53"/>
      <c r="B63" s="53"/>
      <c r="C63" s="53"/>
      <c r="D63" s="53"/>
      <c r="E63" s="53"/>
      <c r="F63" s="53"/>
      <c r="G63" s="53"/>
      <c r="H63" s="53"/>
    </row>
    <row r="64" spans="1:8" x14ac:dyDescent="0.15">
      <c r="A64" s="53"/>
      <c r="B64" s="53"/>
      <c r="C64" s="53"/>
      <c r="D64" s="53"/>
      <c r="E64" s="53"/>
      <c r="F64" s="53"/>
      <c r="G64" s="53"/>
      <c r="H64" s="53"/>
    </row>
    <row r="65" spans="1:8" x14ac:dyDescent="0.15">
      <c r="A65" s="53"/>
      <c r="B65" s="53"/>
      <c r="C65" s="53"/>
      <c r="D65" s="53"/>
      <c r="E65" s="53"/>
      <c r="F65" s="53"/>
      <c r="G65" s="53"/>
      <c r="H65" s="53"/>
    </row>
    <row r="66" spans="1:8" x14ac:dyDescent="0.15">
      <c r="A66" s="53"/>
      <c r="B66" s="53"/>
      <c r="C66" s="53"/>
      <c r="D66" s="53"/>
      <c r="E66" s="53"/>
      <c r="F66" s="53"/>
      <c r="G66" s="53"/>
      <c r="H66" s="53"/>
    </row>
    <row r="67" spans="1:8" x14ac:dyDescent="0.15">
      <c r="A67" s="53"/>
      <c r="B67" s="53"/>
      <c r="C67" s="53"/>
      <c r="D67" s="53"/>
      <c r="E67" s="53"/>
      <c r="F67" s="53"/>
      <c r="G67" s="53"/>
      <c r="H67" s="53"/>
    </row>
    <row r="68" spans="1:8" x14ac:dyDescent="0.15">
      <c r="A68" s="53"/>
      <c r="B68" s="53"/>
      <c r="C68" s="53"/>
      <c r="D68" s="53"/>
      <c r="E68" s="53"/>
      <c r="F68" s="53"/>
      <c r="G68" s="53"/>
      <c r="H68" s="53"/>
    </row>
    <row r="69" spans="1:8" x14ac:dyDescent="0.15">
      <c r="A69" s="53"/>
      <c r="B69" s="53"/>
      <c r="C69" s="53"/>
      <c r="D69" s="53"/>
      <c r="E69" s="53"/>
      <c r="F69" s="53"/>
      <c r="G69" s="53"/>
      <c r="H69" s="53"/>
    </row>
    <row r="70" spans="1:8" x14ac:dyDescent="0.15">
      <c r="A70" s="53"/>
      <c r="B70" s="53"/>
      <c r="C70" s="53"/>
      <c r="D70" s="53"/>
      <c r="E70" s="53"/>
      <c r="F70" s="53"/>
      <c r="G70" s="53"/>
      <c r="H70" s="53"/>
    </row>
    <row r="71" spans="1:8" x14ac:dyDescent="0.15">
      <c r="A71" s="53"/>
      <c r="B71" s="53"/>
      <c r="C71" s="53"/>
      <c r="D71" s="53"/>
      <c r="E71" s="53"/>
      <c r="F71" s="53"/>
      <c r="G71" s="53"/>
      <c r="H71" s="53"/>
    </row>
    <row r="72" spans="1:8" x14ac:dyDescent="0.15">
      <c r="A72" s="53"/>
      <c r="B72" s="53"/>
      <c r="C72" s="53"/>
      <c r="D72" s="53"/>
      <c r="E72" s="53"/>
      <c r="F72" s="53"/>
      <c r="G72" s="53"/>
      <c r="H72" s="53"/>
    </row>
    <row r="73" spans="1:8" x14ac:dyDescent="0.15">
      <c r="A73" s="53"/>
      <c r="B73" s="53"/>
      <c r="C73" s="53"/>
      <c r="D73" s="53"/>
      <c r="E73" s="53"/>
      <c r="F73" s="53"/>
      <c r="G73" s="53"/>
      <c r="H73" s="53"/>
    </row>
    <row r="74" spans="1:8" ht="13.5" hidden="1" customHeight="1" x14ac:dyDescent="0.15">
      <c r="A74" s="53"/>
      <c r="B74" s="53"/>
      <c r="C74" s="53"/>
      <c r="D74" s="53"/>
      <c r="E74" s="53"/>
      <c r="F74" s="53">
        <v>0</v>
      </c>
      <c r="G74" s="53"/>
      <c r="H74" s="53"/>
    </row>
    <row r="75" spans="1:8" x14ac:dyDescent="0.15">
      <c r="A75" s="53"/>
      <c r="B75" s="53"/>
      <c r="C75" s="53"/>
      <c r="D75" s="53"/>
      <c r="E75" s="53"/>
      <c r="F75" s="53"/>
      <c r="G75" s="53"/>
      <c r="H75" s="53"/>
    </row>
    <row r="76" spans="1:8" x14ac:dyDescent="0.15">
      <c r="A76" s="53"/>
      <c r="B76" s="53"/>
      <c r="C76" s="53"/>
      <c r="D76" s="53"/>
      <c r="E76" s="53"/>
      <c r="F76" s="53"/>
      <c r="G76" s="53"/>
      <c r="H76" s="53"/>
    </row>
    <row r="77" spans="1:8" x14ac:dyDescent="0.15">
      <c r="A77" s="53"/>
      <c r="B77" s="53"/>
      <c r="C77" s="53"/>
      <c r="D77" s="53"/>
      <c r="E77" s="53"/>
      <c r="F77" s="53"/>
      <c r="G77" s="53"/>
      <c r="H77" s="53"/>
    </row>
    <row r="78" spans="1:8" x14ac:dyDescent="0.15">
      <c r="A78" s="53"/>
      <c r="B78" s="53"/>
      <c r="C78" s="53"/>
      <c r="D78" s="53"/>
      <c r="E78" s="53"/>
      <c r="F78" s="53"/>
      <c r="G78" s="53"/>
      <c r="H78" s="53"/>
    </row>
    <row r="79" spans="1:8" x14ac:dyDescent="0.15">
      <c r="A79" s="53"/>
      <c r="B79" s="53"/>
      <c r="C79" s="53"/>
      <c r="D79" s="53"/>
      <c r="E79" s="53"/>
      <c r="F79" s="53"/>
      <c r="G79" s="53"/>
      <c r="H79" s="53"/>
    </row>
    <row r="80" spans="1:8" ht="13.5" hidden="1" customHeight="1" x14ac:dyDescent="0.15">
      <c r="A80" s="53"/>
      <c r="B80" s="53"/>
      <c r="C80" s="53"/>
      <c r="D80" s="53"/>
      <c r="E80" s="53"/>
      <c r="F80" s="53"/>
      <c r="G80" s="53"/>
      <c r="H80" s="53"/>
    </row>
    <row r="81" spans="1:8" x14ac:dyDescent="0.15">
      <c r="A81" s="53"/>
      <c r="B81" s="53"/>
      <c r="C81" s="53"/>
      <c r="D81" s="53"/>
      <c r="E81" s="53"/>
      <c r="F81" s="53"/>
      <c r="G81" s="53"/>
      <c r="H81" s="53"/>
    </row>
    <row r="82" spans="1:8" x14ac:dyDescent="0.15">
      <c r="A82" s="53"/>
      <c r="B82" s="53"/>
      <c r="C82" s="53"/>
      <c r="D82" s="53"/>
      <c r="E82" s="53"/>
      <c r="F82" s="53"/>
      <c r="G82" s="53"/>
      <c r="H82" s="53"/>
    </row>
    <row r="83" spans="1:8" x14ac:dyDescent="0.15">
      <c r="A83" s="53"/>
      <c r="B83" s="53"/>
      <c r="C83" s="53"/>
      <c r="D83" s="53"/>
      <c r="E83" s="53"/>
      <c r="F83" s="53"/>
      <c r="G83" s="53"/>
      <c r="H83" s="53"/>
    </row>
    <row r="84" spans="1:8" x14ac:dyDescent="0.15">
      <c r="A84" s="53"/>
      <c r="B84" s="53"/>
      <c r="C84" s="53"/>
      <c r="D84" s="53"/>
      <c r="E84" s="53"/>
      <c r="F84" s="53"/>
      <c r="G84" s="53"/>
      <c r="H84" s="53"/>
    </row>
  </sheetData>
  <mergeCells count="13">
    <mergeCell ref="A1:C1"/>
    <mergeCell ref="A2:C2"/>
    <mergeCell ref="A4:C4"/>
    <mergeCell ref="E4:E5"/>
    <mergeCell ref="F4:F5"/>
    <mergeCell ref="B36:C36"/>
    <mergeCell ref="I4:I5"/>
    <mergeCell ref="A6:C6"/>
    <mergeCell ref="B7:C7"/>
    <mergeCell ref="B10:C10"/>
    <mergeCell ref="B13:C13"/>
    <mergeCell ref="B32:C32"/>
    <mergeCell ref="G4:H4"/>
  </mergeCells>
  <phoneticPr fontId="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M16" sqref="M16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1.125" style="22" customWidth="1"/>
    <col min="4" max="4" width="12.375" style="22" customWidth="1"/>
    <col min="5" max="6" width="15.25" style="22" customWidth="1"/>
    <col min="7" max="7" width="14.375" style="22" customWidth="1"/>
    <col min="8" max="8" width="7.625" style="22" customWidth="1"/>
    <col min="9" max="9" width="38.375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3" s="25" customFormat="1" ht="22.5" customHeight="1" x14ac:dyDescent="0.15">
      <c r="A1" s="1649" t="s">
        <v>427</v>
      </c>
      <c r="B1" s="1650"/>
      <c r="C1" s="1650"/>
      <c r="D1" s="294"/>
      <c r="E1" s="93"/>
      <c r="F1" s="93"/>
      <c r="G1" s="23"/>
      <c r="H1" s="23"/>
    </row>
    <row r="2" spans="1:13" s="25" customFormat="1" ht="22.5" customHeight="1" x14ac:dyDescent="0.15">
      <c r="A2" s="1560" t="s">
        <v>419</v>
      </c>
      <c r="B2" s="1560"/>
      <c r="C2" s="1560"/>
      <c r="D2" s="108"/>
      <c r="E2" s="93"/>
      <c r="F2" s="93"/>
      <c r="G2" s="23"/>
      <c r="H2" s="23"/>
    </row>
    <row r="3" spans="1:13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244</v>
      </c>
    </row>
    <row r="4" spans="1:13" s="248" customFormat="1" ht="33.75" customHeight="1" x14ac:dyDescent="0.15">
      <c r="A4" s="1562" t="s">
        <v>247</v>
      </c>
      <c r="B4" s="1563"/>
      <c r="C4" s="1563"/>
      <c r="D4" s="1564"/>
      <c r="E4" s="1565" t="str">
        <f>'[1]나.세입세출(총괄)'!D4:D5</f>
        <v>당초예산
( A )</v>
      </c>
      <c r="F4" s="1567" t="str">
        <f>'[1]나.세입세출(총괄)'!E4:E5</f>
        <v>1차추경
( B )</v>
      </c>
      <c r="G4" s="1567" t="s">
        <v>250</v>
      </c>
      <c r="H4" s="1567"/>
      <c r="I4" s="1709" t="s">
        <v>407</v>
      </c>
    </row>
    <row r="5" spans="1:13" s="248" customFormat="1" ht="33.75" customHeight="1" thickBot="1" x14ac:dyDescent="0.2">
      <c r="A5" s="316" t="s">
        <v>1</v>
      </c>
      <c r="B5" s="296" t="s">
        <v>2</v>
      </c>
      <c r="C5" s="296" t="s">
        <v>3</v>
      </c>
      <c r="D5" s="296" t="s">
        <v>428</v>
      </c>
      <c r="E5" s="1566"/>
      <c r="F5" s="1568"/>
      <c r="G5" s="34" t="s">
        <v>251</v>
      </c>
      <c r="H5" s="33" t="s">
        <v>252</v>
      </c>
      <c r="I5" s="1710"/>
    </row>
    <row r="6" spans="1:13" s="248" customFormat="1" ht="33.75" customHeight="1" thickTop="1" x14ac:dyDescent="0.15">
      <c r="A6" s="1576" t="s">
        <v>408</v>
      </c>
      <c r="B6" s="1711"/>
      <c r="C6" s="1711"/>
      <c r="D6" s="289"/>
      <c r="E6" s="252">
        <v>207420000</v>
      </c>
      <c r="F6" s="252">
        <f>F7+F10+F13+F23+F27</f>
        <v>207510000</v>
      </c>
      <c r="G6" s="252">
        <f>G7+G10+G13+G23+G27</f>
        <v>90000</v>
      </c>
      <c r="H6" s="297">
        <f>G6/E6*100</f>
        <v>4.3390222736476719E-2</v>
      </c>
      <c r="I6" s="254"/>
      <c r="K6" s="255">
        <f>F6-'[1]라-1.도시(군)세출'!F6</f>
        <v>0</v>
      </c>
    </row>
    <row r="7" spans="1:13" ht="29.25" customHeight="1" x14ac:dyDescent="0.15">
      <c r="A7" s="256" t="s">
        <v>254</v>
      </c>
      <c r="B7" s="1707" t="s">
        <v>255</v>
      </c>
      <c r="C7" s="1707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  <c r="J7" s="93"/>
      <c r="K7" s="300">
        <f>E6-'[1]라-1.도시(군)세출'!E6</f>
        <v>0</v>
      </c>
      <c r="L7" s="93"/>
      <c r="M7" s="93"/>
    </row>
    <row r="8" spans="1:13" ht="29.25" customHeight="1" x14ac:dyDescent="0.15">
      <c r="A8" s="259"/>
      <c r="B8" s="245" t="s">
        <v>257</v>
      </c>
      <c r="C8" s="245" t="s">
        <v>258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  <c r="J8" s="93"/>
      <c r="K8" s="93"/>
      <c r="L8" s="93"/>
      <c r="M8" s="93"/>
    </row>
    <row r="9" spans="1:13" ht="29.25" customHeight="1" x14ac:dyDescent="0.15">
      <c r="A9" s="261"/>
      <c r="B9" s="245"/>
      <c r="C9" s="245" t="s">
        <v>257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  <c r="J9" s="93"/>
      <c r="K9" s="93"/>
      <c r="L9" s="93"/>
      <c r="M9" s="93"/>
    </row>
    <row r="10" spans="1:13" ht="29.25" customHeight="1" x14ac:dyDescent="0.15">
      <c r="A10" s="256" t="s">
        <v>264</v>
      </c>
      <c r="B10" s="1707" t="s">
        <v>255</v>
      </c>
      <c r="C10" s="1707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  <c r="J10" s="93"/>
      <c r="K10" s="93"/>
      <c r="L10" s="93"/>
      <c r="M10" s="93"/>
    </row>
    <row r="11" spans="1:13" ht="29.25" customHeight="1" x14ac:dyDescent="0.15">
      <c r="A11" s="259"/>
      <c r="B11" s="245" t="s">
        <v>264</v>
      </c>
      <c r="C11" s="245" t="s">
        <v>258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  <c r="J11" s="93"/>
      <c r="K11" s="93"/>
      <c r="L11" s="93"/>
      <c r="M11" s="93"/>
    </row>
    <row r="12" spans="1:13" ht="29.25" customHeight="1" x14ac:dyDescent="0.15">
      <c r="A12" s="261"/>
      <c r="B12" s="245"/>
      <c r="C12" s="245" t="s">
        <v>264</v>
      </c>
      <c r="D12" s="196"/>
      <c r="E12" s="242">
        <v>0</v>
      </c>
      <c r="F12" s="242">
        <v>0</v>
      </c>
      <c r="G12" s="243">
        <f t="shared" ref="G12:G21" si="0">F12-E12</f>
        <v>0</v>
      </c>
      <c r="H12" s="246">
        <v>0</v>
      </c>
      <c r="I12" s="260"/>
      <c r="J12" s="93"/>
      <c r="K12" s="93"/>
      <c r="L12" s="93"/>
      <c r="M12" s="93"/>
    </row>
    <row r="13" spans="1:13" ht="33.75" customHeight="1" x14ac:dyDescent="0.15">
      <c r="A13" s="256" t="s">
        <v>429</v>
      </c>
      <c r="B13" s="1707" t="s">
        <v>255</v>
      </c>
      <c r="C13" s="1707"/>
      <c r="D13" s="298"/>
      <c r="E13" s="243">
        <v>201271300</v>
      </c>
      <c r="F13" s="243">
        <f>SUM(F14,F21)</f>
        <v>204100630</v>
      </c>
      <c r="G13" s="243">
        <f>F13-E13</f>
        <v>2829330</v>
      </c>
      <c r="H13" s="246">
        <f>G13/E13*100</f>
        <v>1.4057294805568405</v>
      </c>
      <c r="I13" s="260"/>
      <c r="J13" s="93"/>
      <c r="K13" s="93"/>
      <c r="L13" s="93"/>
      <c r="M13" s="93"/>
    </row>
    <row r="14" spans="1:13" ht="31.5" customHeight="1" x14ac:dyDescent="0.15">
      <c r="A14" s="259"/>
      <c r="B14" s="245" t="s">
        <v>429</v>
      </c>
      <c r="C14" s="245" t="s">
        <v>258</v>
      </c>
      <c r="D14" s="196"/>
      <c r="E14" s="243">
        <v>194551300</v>
      </c>
      <c r="F14" s="243">
        <f>SUM(F15:F20)</f>
        <v>197380630</v>
      </c>
      <c r="G14" s="243">
        <f>F14-E14</f>
        <v>2829330</v>
      </c>
      <c r="H14" s="246">
        <f>G14/E14*100</f>
        <v>1.4542848081714179</v>
      </c>
      <c r="I14" s="317"/>
      <c r="J14" s="93"/>
      <c r="K14" s="93"/>
      <c r="L14" s="93"/>
      <c r="M14" s="93"/>
    </row>
    <row r="15" spans="1:13" ht="30.75" customHeight="1" x14ac:dyDescent="0.15">
      <c r="A15" s="268"/>
      <c r="B15" s="273"/>
      <c r="C15" s="245"/>
      <c r="D15" s="245" t="s">
        <v>392</v>
      </c>
      <c r="E15" s="243">
        <v>155111300</v>
      </c>
      <c r="F15" s="243">
        <f>'[1]라-1.도시(군)세출'!F7</f>
        <v>155850630</v>
      </c>
      <c r="G15" s="243">
        <f t="shared" si="0"/>
        <v>739330</v>
      </c>
      <c r="H15" s="246">
        <f t="shared" ref="H15:H23" si="1">G15/E15*100</f>
        <v>0.47664483503136135</v>
      </c>
      <c r="I15" s="317" t="s">
        <v>430</v>
      </c>
      <c r="J15" s="93"/>
      <c r="K15" s="300">
        <f>'[1]라-1.도시(군)세출'!T7+'[1]라-1.도시(군)세출'!F13-F15</f>
        <v>0</v>
      </c>
      <c r="L15" s="93"/>
      <c r="M15" s="93"/>
    </row>
    <row r="16" spans="1:13" ht="33.75" customHeight="1" x14ac:dyDescent="0.15">
      <c r="A16" s="268"/>
      <c r="B16" s="273"/>
      <c r="C16" s="245"/>
      <c r="D16" s="245" t="str">
        <f>'[1]라-1.도시(군)세출'!D22</f>
        <v>차량운영비</v>
      </c>
      <c r="E16" s="243">
        <v>3600000</v>
      </c>
      <c r="F16" s="243">
        <f>'[1]라-1.도시(군)세출'!F22</f>
        <v>3600000</v>
      </c>
      <c r="G16" s="243">
        <f t="shared" si="0"/>
        <v>0</v>
      </c>
      <c r="H16" s="246">
        <f t="shared" si="1"/>
        <v>0</v>
      </c>
      <c r="I16" s="304"/>
      <c r="J16" s="93"/>
      <c r="K16" s="93"/>
      <c r="L16" s="93"/>
      <c r="M16" s="93"/>
    </row>
    <row r="17" spans="1:13" ht="33.75" hidden="1" customHeight="1" x14ac:dyDescent="0.15">
      <c r="A17" s="268"/>
      <c r="B17" s="273"/>
      <c r="C17" s="245"/>
      <c r="D17" s="245" t="str">
        <f>'[1]라-1.도시(군)세출'!D23</f>
        <v>환경개선사업</v>
      </c>
      <c r="E17" s="243">
        <v>0</v>
      </c>
      <c r="F17" s="243">
        <f>'[1]라-1.도시(군)세출'!F23</f>
        <v>0</v>
      </c>
      <c r="G17" s="243">
        <f t="shared" si="0"/>
        <v>0</v>
      </c>
      <c r="H17" s="246" t="e">
        <f t="shared" si="1"/>
        <v>#DIV/0!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/>
      <c r="D18" s="245" t="str">
        <f>'[1]라-1.도시(군)세출'!D24</f>
        <v>간병인비</v>
      </c>
      <c r="E18" s="243">
        <v>3000000</v>
      </c>
      <c r="F18" s="243">
        <f>'[1]라-1.도시(군)세출'!F24</f>
        <v>3000000</v>
      </c>
      <c r="G18" s="243">
        <f t="shared" si="0"/>
        <v>0</v>
      </c>
      <c r="H18" s="246">
        <f t="shared" si="1"/>
        <v>0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1"/>
      <c r="C19" s="245"/>
      <c r="D19" s="245" t="s">
        <v>393</v>
      </c>
      <c r="E19" s="243">
        <v>32840000</v>
      </c>
      <c r="F19" s="243">
        <f>'[1]라-1.도시(군)세출'!F25</f>
        <v>32840000</v>
      </c>
      <c r="G19" s="243">
        <f t="shared" si="0"/>
        <v>0</v>
      </c>
      <c r="H19" s="246">
        <f>G19/E19*100</f>
        <v>0</v>
      </c>
      <c r="I19" s="260"/>
      <c r="J19" s="93"/>
      <c r="K19" s="93"/>
      <c r="L19" s="93"/>
      <c r="M19" s="93"/>
    </row>
    <row r="20" spans="1:13" ht="33.75" customHeight="1" x14ac:dyDescent="0.15">
      <c r="A20" s="268"/>
      <c r="B20" s="271"/>
      <c r="C20" s="245"/>
      <c r="D20" s="245" t="s">
        <v>394</v>
      </c>
      <c r="E20" s="243"/>
      <c r="F20" s="243">
        <f>'[1]라-1.도시(군)세출'!F33</f>
        <v>2090000</v>
      </c>
      <c r="G20" s="243">
        <f t="shared" si="0"/>
        <v>2090000</v>
      </c>
      <c r="H20" s="246" t="e">
        <f>G20/E20*100</f>
        <v>#DIV/0!</v>
      </c>
      <c r="I20" s="260"/>
      <c r="J20" s="93"/>
      <c r="K20" s="93"/>
      <c r="L20" s="93"/>
      <c r="M20" s="93"/>
    </row>
    <row r="21" spans="1:13" ht="33.75" customHeight="1" x14ac:dyDescent="0.15">
      <c r="A21" s="268"/>
      <c r="B21" s="245" t="s">
        <v>425</v>
      </c>
      <c r="C21" s="245" t="s">
        <v>258</v>
      </c>
      <c r="D21" s="318" t="s">
        <v>421</v>
      </c>
      <c r="E21" s="243">
        <v>6720000</v>
      </c>
      <c r="F21" s="243">
        <f>F22</f>
        <v>6720000</v>
      </c>
      <c r="G21" s="243">
        <f t="shared" si="0"/>
        <v>0</v>
      </c>
      <c r="H21" s="246">
        <f t="shared" si="1"/>
        <v>0</v>
      </c>
      <c r="I21" s="305"/>
      <c r="J21" s="93"/>
      <c r="K21" s="93"/>
      <c r="L21" s="93"/>
      <c r="M21" s="93"/>
    </row>
    <row r="22" spans="1:13" ht="33.75" customHeight="1" x14ac:dyDescent="0.15">
      <c r="A22" s="268"/>
      <c r="B22" s="245"/>
      <c r="C22" s="245" t="s">
        <v>425</v>
      </c>
      <c r="D22" s="306" t="s">
        <v>297</v>
      </c>
      <c r="E22" s="243">
        <v>6720000</v>
      </c>
      <c r="F22" s="243">
        <v>6720000</v>
      </c>
      <c r="G22" s="243">
        <f>F22-E22</f>
        <v>0</v>
      </c>
      <c r="H22" s="246">
        <f t="shared" si="1"/>
        <v>0</v>
      </c>
      <c r="I22" s="303" t="s">
        <v>431</v>
      </c>
      <c r="J22" s="93"/>
      <c r="K22" s="93"/>
      <c r="L22" s="93"/>
      <c r="M22" s="93"/>
    </row>
    <row r="23" spans="1:13" ht="30" customHeight="1" x14ac:dyDescent="0.15">
      <c r="A23" s="256" t="s">
        <v>295</v>
      </c>
      <c r="B23" s="1512" t="s">
        <v>255</v>
      </c>
      <c r="C23" s="1716"/>
      <c r="D23" s="1513"/>
      <c r="E23" s="243">
        <f>E24</f>
        <v>6082000</v>
      </c>
      <c r="F23" s="243">
        <f>F24</f>
        <v>3343190</v>
      </c>
      <c r="G23" s="243">
        <f>G24</f>
        <v>-2738810</v>
      </c>
      <c r="H23" s="246">
        <f t="shared" si="1"/>
        <v>-45.031404143373891</v>
      </c>
      <c r="I23" s="260"/>
      <c r="J23" s="93"/>
      <c r="K23" s="93"/>
      <c r="L23" s="93"/>
      <c r="M23" s="93"/>
    </row>
    <row r="24" spans="1:13" ht="33.75" customHeight="1" x14ac:dyDescent="0.15">
      <c r="A24" s="259"/>
      <c r="B24" s="245" t="s">
        <v>295</v>
      </c>
      <c r="C24" s="245" t="s">
        <v>258</v>
      </c>
      <c r="D24" s="196"/>
      <c r="E24" s="243">
        <v>6082000</v>
      </c>
      <c r="F24" s="243">
        <f>SUM(F25:F26)</f>
        <v>3343190</v>
      </c>
      <c r="G24" s="243">
        <f>SUM(G25:G26)</f>
        <v>-2738810</v>
      </c>
      <c r="H24" s="246">
        <f>G24/E24*100</f>
        <v>-45.031404143373891</v>
      </c>
      <c r="I24" s="260"/>
      <c r="J24" s="93"/>
      <c r="K24" s="93"/>
      <c r="L24" s="93"/>
      <c r="M24" s="93"/>
    </row>
    <row r="25" spans="1:13" ht="120" customHeight="1" x14ac:dyDescent="0.15">
      <c r="A25" s="268"/>
      <c r="B25" s="269"/>
      <c r="C25" s="245" t="s">
        <v>296</v>
      </c>
      <c r="D25" s="122"/>
      <c r="E25" s="243">
        <v>6082000</v>
      </c>
      <c r="F25" s="243">
        <v>3343190</v>
      </c>
      <c r="G25" s="243">
        <f>F25-E25</f>
        <v>-2738810</v>
      </c>
      <c r="H25" s="246">
        <f t="shared" ref="H25:H30" si="2">G25/E25*100</f>
        <v>-45.031404143373891</v>
      </c>
      <c r="I25" s="310" t="s">
        <v>432</v>
      </c>
      <c r="J25" s="300"/>
      <c r="K25" s="93"/>
      <c r="L25" s="93"/>
      <c r="M25" s="93"/>
    </row>
    <row r="26" spans="1:13" ht="33.75" customHeight="1" x14ac:dyDescent="0.15">
      <c r="A26" s="261"/>
      <c r="B26" s="271"/>
      <c r="C26" s="245" t="s">
        <v>298</v>
      </c>
      <c r="D26" s="196"/>
      <c r="E26" s="243">
        <v>0</v>
      </c>
      <c r="F26" s="243">
        <v>0</v>
      </c>
      <c r="G26" s="243">
        <f>F26-E26</f>
        <v>0</v>
      </c>
      <c r="H26" s="246" t="e">
        <f t="shared" si="2"/>
        <v>#DIV/0!</v>
      </c>
      <c r="I26" s="260"/>
      <c r="J26" s="93"/>
      <c r="K26" s="93"/>
      <c r="L26" s="93"/>
      <c r="M26" s="93"/>
    </row>
    <row r="27" spans="1:13" s="276" customFormat="1" ht="33.75" customHeight="1" x14ac:dyDescent="0.15">
      <c r="A27" s="256" t="s">
        <v>299</v>
      </c>
      <c r="B27" s="1707" t="s">
        <v>255</v>
      </c>
      <c r="C27" s="1707"/>
      <c r="D27" s="298"/>
      <c r="E27" s="243">
        <v>66700</v>
      </c>
      <c r="F27" s="243">
        <f>F28</f>
        <v>66180</v>
      </c>
      <c r="G27" s="243">
        <f>G28</f>
        <v>-520</v>
      </c>
      <c r="H27" s="246">
        <f t="shared" si="2"/>
        <v>-0.77961019490254868</v>
      </c>
      <c r="I27" s="277"/>
    </row>
    <row r="28" spans="1:13" s="276" customFormat="1" ht="33.75" customHeight="1" x14ac:dyDescent="0.15">
      <c r="A28" s="259"/>
      <c r="B28" s="245" t="s">
        <v>299</v>
      </c>
      <c r="C28" s="245" t="s">
        <v>258</v>
      </c>
      <c r="D28" s="196"/>
      <c r="E28" s="243">
        <v>66700</v>
      </c>
      <c r="F28" s="243">
        <f>SUM(F29:F31)</f>
        <v>66180</v>
      </c>
      <c r="G28" s="243">
        <f>SUM(G29:G31)</f>
        <v>-520</v>
      </c>
      <c r="H28" s="246">
        <f t="shared" si="2"/>
        <v>-0.77961019490254868</v>
      </c>
      <c r="I28" s="277"/>
    </row>
    <row r="29" spans="1:13" s="248" customFormat="1" ht="33.75" customHeight="1" x14ac:dyDescent="0.15">
      <c r="A29" s="268"/>
      <c r="B29" s="269"/>
      <c r="C29" s="245" t="s">
        <v>302</v>
      </c>
      <c r="D29" s="122"/>
      <c r="E29" s="243">
        <v>0</v>
      </c>
      <c r="F29" s="243">
        <v>0</v>
      </c>
      <c r="G29" s="243">
        <f>F29-E29</f>
        <v>0</v>
      </c>
      <c r="H29" s="246">
        <v>0</v>
      </c>
      <c r="I29" s="278"/>
    </row>
    <row r="30" spans="1:13" s="248" customFormat="1" ht="33.75" customHeight="1" x14ac:dyDescent="0.15">
      <c r="A30" s="268"/>
      <c r="B30" s="273"/>
      <c r="C30" s="245" t="s">
        <v>304</v>
      </c>
      <c r="D30" s="308"/>
      <c r="E30" s="243">
        <v>66700</v>
      </c>
      <c r="F30" s="243">
        <f>'[1]라-1.도시(군)세출'!F36</f>
        <v>66180</v>
      </c>
      <c r="G30" s="243">
        <f>F30-E30</f>
        <v>-520</v>
      </c>
      <c r="H30" s="246">
        <f t="shared" si="2"/>
        <v>-0.77961019490254868</v>
      </c>
      <c r="I30" s="278"/>
    </row>
    <row r="31" spans="1:13" ht="33.75" customHeight="1" x14ac:dyDescent="0.15">
      <c r="A31" s="279"/>
      <c r="B31" s="280"/>
      <c r="C31" s="281" t="s">
        <v>305</v>
      </c>
      <c r="D31" s="311"/>
      <c r="E31" s="244">
        <v>0</v>
      </c>
      <c r="F31" s="244">
        <v>0</v>
      </c>
      <c r="G31" s="244">
        <f>F31-E31</f>
        <v>0</v>
      </c>
      <c r="H31" s="312">
        <v>0</v>
      </c>
      <c r="I31" s="313"/>
      <c r="J31" s="93"/>
      <c r="K31" s="93"/>
      <c r="L31" s="93"/>
      <c r="M31" s="93"/>
    </row>
    <row r="32" spans="1:13" ht="23.25" customHeight="1" x14ac:dyDescent="0.15">
      <c r="A32" s="284"/>
      <c r="B32" s="284"/>
      <c r="C32" s="284"/>
      <c r="D32" s="284"/>
      <c r="E32" s="314"/>
      <c r="F32" s="315"/>
      <c r="G32" s="315"/>
      <c r="H32" s="284"/>
      <c r="I32" s="286"/>
      <c r="J32" s="93"/>
      <c r="K32" s="93"/>
      <c r="L32" s="93"/>
      <c r="M32" s="93"/>
    </row>
    <row r="33" spans="1:13" s="94" customFormat="1" ht="12" x14ac:dyDescent="0.15">
      <c r="A33" s="53"/>
      <c r="B33" s="53"/>
      <c r="C33" s="53"/>
      <c r="D33" s="53"/>
      <c r="E33" s="185"/>
      <c r="F33" s="185"/>
      <c r="G33" s="185"/>
      <c r="H33" s="53"/>
      <c r="I33" s="22"/>
      <c r="K33" s="22"/>
      <c r="L33" s="22"/>
      <c r="M33" s="22"/>
    </row>
    <row r="34" spans="1:13" s="94" customFormat="1" ht="12" x14ac:dyDescent="0.15">
      <c r="A34" s="53"/>
      <c r="B34" s="53"/>
      <c r="C34" s="53"/>
      <c r="D34" s="53"/>
      <c r="E34" s="185"/>
      <c r="F34" s="185"/>
      <c r="G34" s="185"/>
      <c r="H34" s="53"/>
      <c r="I34" s="22"/>
      <c r="K34" s="22"/>
      <c r="L34" s="22"/>
      <c r="M34" s="22"/>
    </row>
    <row r="35" spans="1:13" s="94" customFormat="1" ht="12" x14ac:dyDescent="0.15">
      <c r="A35" s="53"/>
      <c r="B35" s="53"/>
      <c r="C35" s="53"/>
      <c r="D35" s="53"/>
      <c r="E35" s="185"/>
      <c r="F35" s="185"/>
      <c r="G35" s="185"/>
      <c r="H35" s="53"/>
      <c r="I35" s="22"/>
      <c r="K35" s="22"/>
      <c r="L35" s="22"/>
      <c r="M35" s="22"/>
    </row>
    <row r="36" spans="1:13" s="22" customFormat="1" ht="12" x14ac:dyDescent="0.15">
      <c r="A36" s="53"/>
      <c r="B36" s="53"/>
      <c r="C36" s="53"/>
      <c r="D36" s="53"/>
      <c r="E36" s="185"/>
      <c r="F36" s="185"/>
      <c r="G36" s="185"/>
      <c r="H36" s="53"/>
      <c r="J36" s="94"/>
    </row>
    <row r="37" spans="1:13" s="22" customFormat="1" ht="12" x14ac:dyDescent="0.15">
      <c r="A37" s="53"/>
      <c r="B37" s="53"/>
      <c r="C37" s="53"/>
      <c r="D37" s="53"/>
      <c r="E37" s="185"/>
      <c r="F37" s="185"/>
      <c r="G37" s="185"/>
      <c r="H37" s="53"/>
      <c r="J37" s="94"/>
    </row>
    <row r="38" spans="1:13" s="22" customFormat="1" ht="12" x14ac:dyDescent="0.15">
      <c r="A38" s="53"/>
      <c r="B38" s="53"/>
      <c r="C38" s="53"/>
      <c r="D38" s="53"/>
      <c r="E38" s="185"/>
      <c r="F38" s="185"/>
      <c r="G38" s="185"/>
      <c r="H38" s="53"/>
      <c r="J38" s="94"/>
    </row>
    <row r="39" spans="1:13" s="22" customFormat="1" ht="12" x14ac:dyDescent="0.15">
      <c r="A39" s="53"/>
      <c r="B39" s="53"/>
      <c r="C39" s="53"/>
      <c r="D39" s="53"/>
      <c r="E39" s="185"/>
      <c r="F39" s="185"/>
      <c r="G39" s="185"/>
      <c r="H39" s="53"/>
      <c r="J39" s="94"/>
    </row>
    <row r="40" spans="1:13" s="22" customFormat="1" ht="11.25" x14ac:dyDescent="0.15">
      <c r="A40" s="53"/>
      <c r="B40" s="53"/>
      <c r="C40" s="53"/>
      <c r="D40" s="53"/>
      <c r="E40" s="53"/>
      <c r="F40" s="53"/>
      <c r="G40" s="53"/>
      <c r="H40" s="53"/>
      <c r="J40" s="94"/>
    </row>
    <row r="41" spans="1:13" s="22" customFormat="1" ht="11.25" x14ac:dyDescent="0.15">
      <c r="A41" s="53"/>
      <c r="B41" s="53"/>
      <c r="C41" s="53"/>
      <c r="D41" s="53"/>
      <c r="E41" s="53"/>
      <c r="F41" s="53"/>
      <c r="G41" s="53"/>
      <c r="H41" s="53"/>
      <c r="J41" s="94"/>
    </row>
    <row r="42" spans="1:13" s="22" customFormat="1" ht="11.25" x14ac:dyDescent="0.15">
      <c r="A42" s="53"/>
      <c r="B42" s="53"/>
      <c r="C42" s="53"/>
      <c r="D42" s="53"/>
      <c r="E42" s="53"/>
      <c r="F42" s="53"/>
      <c r="G42" s="53"/>
      <c r="H42" s="53"/>
      <c r="J42" s="94"/>
    </row>
    <row r="43" spans="1:13" s="22" customFormat="1" ht="11.25" x14ac:dyDescent="0.15">
      <c r="A43" s="53"/>
      <c r="B43" s="53"/>
      <c r="C43" s="53"/>
      <c r="D43" s="53"/>
      <c r="E43" s="53"/>
      <c r="F43" s="53"/>
      <c r="G43" s="53"/>
      <c r="H43" s="53"/>
      <c r="J43" s="94"/>
    </row>
    <row r="44" spans="1:13" s="22" customFormat="1" ht="11.25" x14ac:dyDescent="0.15">
      <c r="A44" s="53"/>
      <c r="B44" s="53"/>
      <c r="C44" s="53"/>
      <c r="D44" s="53"/>
      <c r="E44" s="53"/>
      <c r="F44" s="53"/>
      <c r="G44" s="53"/>
      <c r="H44" s="53"/>
      <c r="J44" s="94"/>
    </row>
    <row r="45" spans="1:13" s="22" customFormat="1" ht="11.25" x14ac:dyDescent="0.15">
      <c r="A45" s="53"/>
      <c r="B45" s="53"/>
      <c r="C45" s="53"/>
      <c r="D45" s="53"/>
      <c r="E45" s="53"/>
      <c r="F45" s="53"/>
      <c r="G45" s="53"/>
      <c r="H45" s="53"/>
      <c r="J45" s="94"/>
    </row>
    <row r="46" spans="1:13" s="22" customFormat="1" ht="11.25" x14ac:dyDescent="0.15">
      <c r="A46" s="53"/>
      <c r="B46" s="53"/>
      <c r="C46" s="53"/>
      <c r="D46" s="53"/>
      <c r="E46" s="53"/>
      <c r="F46" s="53"/>
      <c r="G46" s="53"/>
      <c r="H46" s="53"/>
      <c r="J46" s="94"/>
    </row>
    <row r="47" spans="1:13" s="22" customFormat="1" ht="11.25" x14ac:dyDescent="0.15">
      <c r="A47" s="53"/>
      <c r="B47" s="53"/>
      <c r="C47" s="53"/>
      <c r="D47" s="53"/>
      <c r="E47" s="53"/>
      <c r="F47" s="53"/>
      <c r="G47" s="53"/>
      <c r="H47" s="53"/>
      <c r="J47" s="94"/>
    </row>
    <row r="48" spans="1:13" s="22" customFormat="1" ht="11.25" x14ac:dyDescent="0.15">
      <c r="A48" s="53"/>
      <c r="B48" s="53"/>
      <c r="C48" s="53"/>
      <c r="D48" s="53"/>
      <c r="E48" s="53"/>
      <c r="F48" s="53"/>
      <c r="G48" s="53"/>
      <c r="H48" s="53"/>
      <c r="J48" s="94"/>
    </row>
    <row r="49" spans="1:10" s="22" customFormat="1" ht="11.25" x14ac:dyDescent="0.15">
      <c r="A49" s="53"/>
      <c r="B49" s="53"/>
      <c r="C49" s="53"/>
      <c r="D49" s="53"/>
      <c r="E49" s="53"/>
      <c r="F49" s="53"/>
      <c r="G49" s="53"/>
      <c r="H49" s="53"/>
      <c r="J49" s="94"/>
    </row>
    <row r="50" spans="1:10" s="22" customFormat="1" ht="11.25" x14ac:dyDescent="0.15">
      <c r="A50" s="53"/>
      <c r="B50" s="53"/>
      <c r="C50" s="53"/>
      <c r="D50" s="53"/>
      <c r="E50" s="53"/>
      <c r="F50" s="53"/>
      <c r="G50" s="53"/>
      <c r="H50" s="53"/>
      <c r="J50" s="94"/>
    </row>
    <row r="51" spans="1:10" s="22" customFormat="1" ht="11.25" x14ac:dyDescent="0.15">
      <c r="A51" s="53"/>
      <c r="B51" s="53"/>
      <c r="C51" s="53"/>
      <c r="D51" s="53"/>
      <c r="E51" s="53"/>
      <c r="F51" s="53"/>
      <c r="G51" s="53"/>
      <c r="H51" s="53"/>
      <c r="J51" s="94"/>
    </row>
    <row r="52" spans="1:10" s="22" customFormat="1" ht="11.25" x14ac:dyDescent="0.15">
      <c r="A52" s="53"/>
      <c r="B52" s="53"/>
      <c r="C52" s="53"/>
      <c r="D52" s="53"/>
      <c r="E52" s="53"/>
      <c r="F52" s="53"/>
      <c r="G52" s="53"/>
      <c r="H52" s="53"/>
      <c r="J52" s="94"/>
    </row>
    <row r="53" spans="1:10" s="22" customFormat="1" ht="11.25" x14ac:dyDescent="0.15">
      <c r="A53" s="53"/>
      <c r="B53" s="53"/>
      <c r="C53" s="53"/>
      <c r="D53" s="53"/>
      <c r="E53" s="53"/>
      <c r="F53" s="53"/>
      <c r="G53" s="53"/>
      <c r="H53" s="53"/>
      <c r="J53" s="94"/>
    </row>
    <row r="54" spans="1:10" s="22" customFormat="1" ht="11.25" x14ac:dyDescent="0.15">
      <c r="A54" s="53"/>
      <c r="B54" s="53"/>
      <c r="C54" s="53"/>
      <c r="D54" s="53"/>
      <c r="E54" s="53"/>
      <c r="F54" s="53"/>
      <c r="G54" s="53"/>
      <c r="H54" s="53"/>
      <c r="J54" s="94"/>
    </row>
    <row r="55" spans="1:10" s="22" customFormat="1" ht="11.25" x14ac:dyDescent="0.15">
      <c r="A55" s="53"/>
      <c r="B55" s="53"/>
      <c r="C55" s="53"/>
      <c r="D55" s="53"/>
      <c r="E55" s="53"/>
      <c r="F55" s="53"/>
      <c r="G55" s="53"/>
      <c r="H55" s="53"/>
      <c r="J55" s="94"/>
    </row>
    <row r="56" spans="1:10" s="22" customFormat="1" ht="11.25" x14ac:dyDescent="0.15">
      <c r="A56" s="53"/>
      <c r="B56" s="53"/>
      <c r="C56" s="53"/>
      <c r="D56" s="53"/>
      <c r="E56" s="53"/>
      <c r="F56" s="53"/>
      <c r="G56" s="53"/>
      <c r="H56" s="53"/>
      <c r="J56" s="94"/>
    </row>
    <row r="57" spans="1:10" s="22" customFormat="1" ht="11.25" x14ac:dyDescent="0.15">
      <c r="A57" s="53"/>
      <c r="B57" s="53"/>
      <c r="C57" s="53"/>
      <c r="D57" s="53"/>
      <c r="E57" s="53"/>
      <c r="F57" s="53"/>
      <c r="G57" s="53"/>
      <c r="H57" s="53"/>
      <c r="J57" s="94"/>
    </row>
    <row r="58" spans="1:10" s="22" customFormat="1" ht="11.25" x14ac:dyDescent="0.15">
      <c r="A58" s="53"/>
      <c r="B58" s="53"/>
      <c r="C58" s="53"/>
      <c r="D58" s="53"/>
      <c r="E58" s="53"/>
      <c r="F58" s="53"/>
      <c r="G58" s="53"/>
      <c r="H58" s="53"/>
      <c r="J58" s="94"/>
    </row>
    <row r="59" spans="1:10" s="22" customFormat="1" ht="11.25" x14ac:dyDescent="0.15">
      <c r="A59" s="53"/>
      <c r="B59" s="53"/>
      <c r="C59" s="53"/>
      <c r="D59" s="53"/>
      <c r="E59" s="53"/>
      <c r="F59" s="53"/>
      <c r="G59" s="53"/>
      <c r="H59" s="53"/>
      <c r="J59" s="94"/>
    </row>
    <row r="60" spans="1:10" s="22" customFormat="1" ht="11.25" x14ac:dyDescent="0.15">
      <c r="A60" s="53"/>
      <c r="B60" s="53"/>
      <c r="C60" s="53"/>
      <c r="D60" s="53"/>
      <c r="E60" s="53"/>
      <c r="F60" s="53"/>
      <c r="G60" s="53"/>
      <c r="H60" s="53"/>
      <c r="J60" s="94"/>
    </row>
    <row r="61" spans="1:10" s="22" customFormat="1" ht="11.25" x14ac:dyDescent="0.15">
      <c r="A61" s="53"/>
      <c r="B61" s="53"/>
      <c r="C61" s="53"/>
      <c r="D61" s="53"/>
      <c r="E61" s="53"/>
      <c r="F61" s="53"/>
      <c r="G61" s="53"/>
      <c r="H61" s="53"/>
      <c r="J61" s="94"/>
    </row>
    <row r="62" spans="1:10" s="22" customFormat="1" ht="11.25" x14ac:dyDescent="0.15">
      <c r="A62" s="53"/>
      <c r="B62" s="53"/>
      <c r="C62" s="53"/>
      <c r="D62" s="53"/>
      <c r="E62" s="53"/>
      <c r="F62" s="53"/>
      <c r="G62" s="53"/>
      <c r="H62" s="53"/>
      <c r="J62" s="94"/>
    </row>
    <row r="63" spans="1:10" s="22" customFormat="1" ht="11.25" x14ac:dyDescent="0.15">
      <c r="A63" s="53"/>
      <c r="B63" s="53"/>
      <c r="C63" s="53"/>
      <c r="D63" s="53"/>
      <c r="E63" s="53"/>
      <c r="F63" s="53"/>
      <c r="G63" s="53"/>
      <c r="H63" s="53"/>
      <c r="J63" s="94"/>
    </row>
    <row r="64" spans="1:10" s="22" customFormat="1" ht="11.25" x14ac:dyDescent="0.15">
      <c r="A64" s="53"/>
      <c r="B64" s="53"/>
      <c r="C64" s="53"/>
      <c r="D64" s="53"/>
      <c r="E64" s="53"/>
      <c r="F64" s="53"/>
      <c r="G64" s="53"/>
      <c r="H64" s="53"/>
      <c r="J64" s="94"/>
    </row>
    <row r="65" spans="1:10" s="22" customFormat="1" ht="13.5" hidden="1" customHeight="1" x14ac:dyDescent="0.15">
      <c r="A65" s="53"/>
      <c r="B65" s="53"/>
      <c r="C65" s="53"/>
      <c r="D65" s="53"/>
      <c r="E65" s="53"/>
      <c r="F65" s="53">
        <v>0</v>
      </c>
      <c r="G65" s="53"/>
      <c r="H65" s="53"/>
      <c r="J65" s="94"/>
    </row>
    <row r="66" spans="1:10" s="22" customFormat="1" ht="11.25" x14ac:dyDescent="0.15">
      <c r="A66" s="53"/>
      <c r="B66" s="53"/>
      <c r="C66" s="53"/>
      <c r="D66" s="53"/>
      <c r="E66" s="53"/>
      <c r="F66" s="53"/>
      <c r="G66" s="53"/>
      <c r="H66" s="53"/>
      <c r="J66" s="94"/>
    </row>
    <row r="67" spans="1:10" s="22" customFormat="1" ht="11.25" x14ac:dyDescent="0.15">
      <c r="A67" s="53"/>
      <c r="B67" s="53"/>
      <c r="C67" s="53"/>
      <c r="D67" s="53"/>
      <c r="E67" s="53"/>
      <c r="F67" s="53"/>
      <c r="G67" s="53"/>
      <c r="H67" s="53"/>
      <c r="J67" s="94"/>
    </row>
    <row r="68" spans="1:10" s="22" customFormat="1" ht="11.25" x14ac:dyDescent="0.15">
      <c r="A68" s="53"/>
      <c r="B68" s="53"/>
      <c r="C68" s="53"/>
      <c r="D68" s="53"/>
      <c r="E68" s="53"/>
      <c r="F68" s="53"/>
      <c r="G68" s="53"/>
      <c r="H68" s="53"/>
      <c r="J68" s="94"/>
    </row>
    <row r="69" spans="1:10" s="22" customFormat="1" ht="11.25" x14ac:dyDescent="0.15">
      <c r="A69" s="53"/>
      <c r="B69" s="53"/>
      <c r="C69" s="53"/>
      <c r="D69" s="53"/>
      <c r="E69" s="53"/>
      <c r="F69" s="53"/>
      <c r="G69" s="53"/>
      <c r="H69" s="53"/>
      <c r="J69" s="94"/>
    </row>
    <row r="70" spans="1:10" s="22" customFormat="1" ht="11.25" x14ac:dyDescent="0.15">
      <c r="A70" s="53"/>
      <c r="B70" s="53"/>
      <c r="C70" s="53"/>
      <c r="D70" s="53"/>
      <c r="E70" s="53"/>
      <c r="F70" s="53"/>
      <c r="G70" s="53"/>
      <c r="H70" s="53"/>
      <c r="J70" s="94"/>
    </row>
    <row r="71" spans="1:10" s="22" customFormat="1" ht="13.5" hidden="1" customHeight="1" x14ac:dyDescent="0.15">
      <c r="A71" s="53"/>
      <c r="B71" s="53"/>
      <c r="C71" s="53"/>
      <c r="D71" s="53"/>
      <c r="E71" s="53"/>
      <c r="F71" s="53"/>
      <c r="G71" s="53"/>
      <c r="H71" s="53"/>
      <c r="J71" s="94"/>
    </row>
    <row r="72" spans="1:10" s="22" customFormat="1" ht="11.25" x14ac:dyDescent="0.15">
      <c r="A72" s="53"/>
      <c r="B72" s="53"/>
      <c r="C72" s="53"/>
      <c r="D72" s="53"/>
      <c r="E72" s="53"/>
      <c r="F72" s="53"/>
      <c r="G72" s="53"/>
      <c r="H72" s="53"/>
      <c r="J72" s="94"/>
    </row>
    <row r="73" spans="1:10" s="22" customFormat="1" ht="11.25" x14ac:dyDescent="0.15">
      <c r="A73" s="53"/>
      <c r="B73" s="53"/>
      <c r="C73" s="53"/>
      <c r="D73" s="53"/>
      <c r="E73" s="53"/>
      <c r="F73" s="53"/>
      <c r="G73" s="53"/>
      <c r="H73" s="53"/>
      <c r="J73" s="94"/>
    </row>
    <row r="74" spans="1:10" s="22" customFormat="1" ht="11.25" x14ac:dyDescent="0.15">
      <c r="A74" s="53"/>
      <c r="B74" s="53"/>
      <c r="C74" s="53"/>
      <c r="D74" s="53"/>
      <c r="E74" s="53"/>
      <c r="F74" s="53"/>
      <c r="G74" s="53"/>
      <c r="H74" s="53"/>
      <c r="J74" s="94"/>
    </row>
    <row r="75" spans="1:10" s="22" customFormat="1" ht="11.25" x14ac:dyDescent="0.15">
      <c r="A75" s="53"/>
      <c r="B75" s="53"/>
      <c r="C75" s="53"/>
      <c r="D75" s="53"/>
      <c r="E75" s="53"/>
      <c r="F75" s="53"/>
      <c r="G75" s="53"/>
      <c r="H75" s="53"/>
      <c r="J75" s="94"/>
    </row>
  </sheetData>
  <mergeCells count="13">
    <mergeCell ref="A1:C1"/>
    <mergeCell ref="A2:C2"/>
    <mergeCell ref="A4:D4"/>
    <mergeCell ref="E4:E5"/>
    <mergeCell ref="F4:F5"/>
    <mergeCell ref="B27:C27"/>
    <mergeCell ref="I4:I5"/>
    <mergeCell ref="A6:C6"/>
    <mergeCell ref="B7:C7"/>
    <mergeCell ref="B10:C10"/>
    <mergeCell ref="B13:C13"/>
    <mergeCell ref="B23:D23"/>
    <mergeCell ref="G4:H4"/>
  </mergeCells>
  <phoneticPr fontId="5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E15" sqref="E15"/>
    </sheetView>
  </sheetViews>
  <sheetFormatPr defaultRowHeight="13.5" x14ac:dyDescent="0.15"/>
  <cols>
    <col min="1" max="1" width="9.875" style="90" customWidth="1"/>
    <col min="2" max="2" width="10.625" style="90" customWidth="1"/>
    <col min="3" max="3" width="12.375" style="90" customWidth="1"/>
    <col min="4" max="4" width="12.125" style="94" customWidth="1"/>
    <col min="5" max="5" width="12.125" style="22" customWidth="1"/>
    <col min="6" max="6" width="11.125" style="22" customWidth="1"/>
    <col min="7" max="7" width="6.5" style="22" customWidth="1"/>
    <col min="8" max="9" width="9.875" style="90" customWidth="1"/>
    <col min="10" max="10" width="12.625" style="90" customWidth="1"/>
    <col min="11" max="11" width="12.125" style="94" customWidth="1"/>
    <col min="12" max="12" width="12.125" style="22" customWidth="1"/>
    <col min="13" max="13" width="11" style="22" customWidth="1"/>
    <col min="14" max="14" width="6" style="95" customWidth="1"/>
    <col min="15" max="15" width="11.25" style="93" hidden="1" customWidth="1"/>
    <col min="16" max="16" width="15.75" style="93" hidden="1" customWidth="1"/>
    <col min="17" max="16384" width="9" style="93"/>
  </cols>
  <sheetData>
    <row r="1" spans="1:16" s="25" customFormat="1" ht="22.5" customHeight="1" x14ac:dyDescent="0.15">
      <c r="A1" s="1722" t="s">
        <v>243</v>
      </c>
      <c r="B1" s="1723"/>
      <c r="C1" s="1723"/>
      <c r="D1" s="21"/>
      <c r="E1" s="22"/>
      <c r="F1" s="23"/>
      <c r="G1" s="23"/>
      <c r="H1" s="1724"/>
      <c r="I1" s="1725"/>
      <c r="J1" s="1725"/>
      <c r="K1" s="21"/>
      <c r="L1" s="23"/>
      <c r="M1" s="23"/>
      <c r="N1" s="24"/>
    </row>
    <row r="2" spans="1:16" s="25" customFormat="1" ht="18" customHeight="1" x14ac:dyDescent="0.15">
      <c r="A2" s="26"/>
      <c r="B2" s="26"/>
      <c r="C2" s="26"/>
      <c r="D2" s="27"/>
      <c r="E2" s="7"/>
      <c r="F2" s="23"/>
      <c r="G2" s="23"/>
      <c r="H2" s="26"/>
      <c r="I2" s="26"/>
      <c r="J2" s="26"/>
      <c r="K2" s="21"/>
      <c r="L2" s="9"/>
      <c r="M2" s="28" t="s">
        <v>244</v>
      </c>
      <c r="N2" s="24"/>
    </row>
    <row r="3" spans="1:16" s="29" customFormat="1" ht="26.25" customHeight="1" x14ac:dyDescent="0.15">
      <c r="A3" s="1726" t="s">
        <v>245</v>
      </c>
      <c r="B3" s="1727"/>
      <c r="C3" s="1727"/>
      <c r="D3" s="1727"/>
      <c r="E3" s="1727"/>
      <c r="F3" s="1727"/>
      <c r="G3" s="1727"/>
      <c r="H3" s="1728" t="s">
        <v>246</v>
      </c>
      <c r="I3" s="1729"/>
      <c r="J3" s="1729"/>
      <c r="K3" s="1729"/>
      <c r="L3" s="1729"/>
      <c r="M3" s="1729"/>
      <c r="N3" s="1730"/>
      <c r="P3" s="30"/>
    </row>
    <row r="4" spans="1:16" s="31" customFormat="1" ht="20.100000000000001" customHeight="1" x14ac:dyDescent="0.15">
      <c r="A4" s="1731" t="s">
        <v>247</v>
      </c>
      <c r="B4" s="1732"/>
      <c r="C4" s="1732"/>
      <c r="D4" s="1565" t="s">
        <v>248</v>
      </c>
      <c r="E4" s="1567" t="s">
        <v>249</v>
      </c>
      <c r="F4" s="1567" t="s">
        <v>250</v>
      </c>
      <c r="G4" s="1567"/>
      <c r="H4" s="1733" t="s">
        <v>247</v>
      </c>
      <c r="I4" s="1732"/>
      <c r="J4" s="1732"/>
      <c r="K4" s="1565" t="str">
        <f>D4</f>
        <v>당초예산
( A )</v>
      </c>
      <c r="L4" s="1567" t="str">
        <f>E4</f>
        <v>1차추경
( B )</v>
      </c>
      <c r="M4" s="1567" t="s">
        <v>250</v>
      </c>
      <c r="N4" s="1718"/>
    </row>
    <row r="5" spans="1:16" s="31" customFormat="1" ht="20.100000000000001" customHeight="1" thickBot="1" x14ac:dyDescent="0.2">
      <c r="A5" s="32" t="s">
        <v>1</v>
      </c>
      <c r="B5" s="33" t="s">
        <v>2</v>
      </c>
      <c r="C5" s="33" t="s">
        <v>3</v>
      </c>
      <c r="D5" s="1566"/>
      <c r="E5" s="1568"/>
      <c r="F5" s="34" t="s">
        <v>251</v>
      </c>
      <c r="G5" s="33" t="s">
        <v>252</v>
      </c>
      <c r="H5" s="35" t="s">
        <v>1</v>
      </c>
      <c r="I5" s="33" t="s">
        <v>2</v>
      </c>
      <c r="J5" s="33" t="s">
        <v>3</v>
      </c>
      <c r="K5" s="1566"/>
      <c r="L5" s="1568"/>
      <c r="M5" s="34" t="s">
        <v>251</v>
      </c>
      <c r="N5" s="36" t="s">
        <v>252</v>
      </c>
      <c r="P5" s="37"/>
    </row>
    <row r="6" spans="1:16" s="45" customFormat="1" ht="18" customHeight="1" thickTop="1" x14ac:dyDescent="0.15">
      <c r="A6" s="1719" t="s">
        <v>253</v>
      </c>
      <c r="B6" s="1720"/>
      <c r="C6" s="1720"/>
      <c r="D6" s="38">
        <v>3230720000</v>
      </c>
      <c r="E6" s="38">
        <f>E7+E13+E16+E36+E39+E43+E10+E30</f>
        <v>3633770000</v>
      </c>
      <c r="F6" s="39">
        <f>F7+F13+F16+F36+F39+F43+F10+F30</f>
        <v>403050000</v>
      </c>
      <c r="G6" s="40">
        <f>F6/D6*100</f>
        <v>12.47554724643423</v>
      </c>
      <c r="H6" s="1721" t="s">
        <v>253</v>
      </c>
      <c r="I6" s="1720"/>
      <c r="J6" s="1720"/>
      <c r="K6" s="41">
        <v>3230720000</v>
      </c>
      <c r="L6" s="41">
        <f>SUM(L7,L24,L29,L45,L48,L51)</f>
        <v>3633770000</v>
      </c>
      <c r="M6" s="42">
        <f>L6-K6</f>
        <v>403050000</v>
      </c>
      <c r="N6" s="43">
        <f t="shared" ref="N6:N13" si="0">M6/K6*100</f>
        <v>12.47554724643423</v>
      </c>
      <c r="O6" s="44">
        <f>K6-D6</f>
        <v>0</v>
      </c>
      <c r="P6" s="44">
        <f>E6-L6</f>
        <v>0</v>
      </c>
    </row>
    <row r="7" spans="1:16" s="53" customFormat="1" ht="18" customHeight="1" x14ac:dyDescent="0.15">
      <c r="A7" s="46" t="s">
        <v>254</v>
      </c>
      <c r="B7" s="1717" t="s">
        <v>255</v>
      </c>
      <c r="C7" s="1717"/>
      <c r="D7" s="47">
        <v>134400000</v>
      </c>
      <c r="E7" s="47">
        <f>E8</f>
        <v>134400000</v>
      </c>
      <c r="F7" s="48">
        <f>F8</f>
        <v>0</v>
      </c>
      <c r="G7" s="49">
        <f>F7/D7*100</f>
        <v>0</v>
      </c>
      <c r="H7" s="50" t="s">
        <v>256</v>
      </c>
      <c r="I7" s="1717" t="s">
        <v>255</v>
      </c>
      <c r="J7" s="1717"/>
      <c r="K7" s="47">
        <v>2628751180</v>
      </c>
      <c r="L7" s="47">
        <f>SUM(L8,L15,L17)</f>
        <v>2985634915</v>
      </c>
      <c r="M7" s="51">
        <f>M8+M15+M17</f>
        <v>356883735</v>
      </c>
      <c r="N7" s="52">
        <f t="shared" si="0"/>
        <v>13.576170225437616</v>
      </c>
      <c r="P7" s="54"/>
    </row>
    <row r="8" spans="1:16" s="53" customFormat="1" ht="18" customHeight="1" x14ac:dyDescent="0.15">
      <c r="A8" s="55"/>
      <c r="B8" s="56" t="s">
        <v>257</v>
      </c>
      <c r="C8" s="56" t="s">
        <v>258</v>
      </c>
      <c r="D8" s="47">
        <v>134400000</v>
      </c>
      <c r="E8" s="47">
        <f>E9</f>
        <v>134400000</v>
      </c>
      <c r="F8" s="48">
        <f>F9</f>
        <v>0</v>
      </c>
      <c r="G8" s="49">
        <f t="shared" ref="G8:G47" si="1">F8/D8*100</f>
        <v>0</v>
      </c>
      <c r="H8" s="57"/>
      <c r="I8" s="56" t="s">
        <v>259</v>
      </c>
      <c r="J8" s="56" t="s">
        <v>258</v>
      </c>
      <c r="K8" s="47">
        <v>2393247270</v>
      </c>
      <c r="L8" s="47">
        <f>SUM(L9:L14)</f>
        <v>2744822050</v>
      </c>
      <c r="M8" s="51">
        <f>SUM(M9:M14)</f>
        <v>351574780</v>
      </c>
      <c r="N8" s="52">
        <f t="shared" si="0"/>
        <v>14.69028229581977</v>
      </c>
    </row>
    <row r="9" spans="1:16" s="53" customFormat="1" ht="18" customHeight="1" x14ac:dyDescent="0.15">
      <c r="A9" s="58"/>
      <c r="B9" s="56"/>
      <c r="C9" s="56" t="s">
        <v>257</v>
      </c>
      <c r="D9" s="47">
        <v>134400000</v>
      </c>
      <c r="E9" s="47">
        <f>'[1]다-2.자부담세입'!E9</f>
        <v>134400000</v>
      </c>
      <c r="F9" s="48">
        <f>E9-D9</f>
        <v>0</v>
      </c>
      <c r="G9" s="49">
        <f t="shared" si="1"/>
        <v>0</v>
      </c>
      <c r="H9" s="59"/>
      <c r="I9" s="60"/>
      <c r="J9" s="56" t="s">
        <v>74</v>
      </c>
      <c r="K9" s="47">
        <v>1479465000</v>
      </c>
      <c r="L9" s="47">
        <f>[1]라.국도비세출!F9+'[1]라-3.후원금세출'!F9+'[1]라-1.도시(군)세출'!F8</f>
        <v>1699369000</v>
      </c>
      <c r="M9" s="51">
        <f t="shared" ref="M9:M16" si="2">L9-K9</f>
        <v>219904000</v>
      </c>
      <c r="N9" s="52">
        <f t="shared" si="0"/>
        <v>14.863751423656524</v>
      </c>
    </row>
    <row r="10" spans="1:16" s="53" customFormat="1" ht="18" customHeight="1" x14ac:dyDescent="0.15">
      <c r="A10" s="46" t="s">
        <v>260</v>
      </c>
      <c r="B10" s="1717" t="s">
        <v>255</v>
      </c>
      <c r="C10" s="1717"/>
      <c r="D10" s="47">
        <v>0</v>
      </c>
      <c r="E10" s="47">
        <f>E11</f>
        <v>0</v>
      </c>
      <c r="F10" s="48">
        <f>F11</f>
        <v>0</v>
      </c>
      <c r="G10" s="49" t="e">
        <f t="shared" si="1"/>
        <v>#DIV/0!</v>
      </c>
      <c r="H10" s="59"/>
      <c r="I10" s="61"/>
      <c r="J10" s="56" t="s">
        <v>261</v>
      </c>
      <c r="K10" s="47">
        <v>9600000</v>
      </c>
      <c r="L10" s="47">
        <f>'[1]라-3.후원금세출'!F11</f>
        <v>9600000</v>
      </c>
      <c r="M10" s="51">
        <f t="shared" si="2"/>
        <v>0</v>
      </c>
      <c r="N10" s="52">
        <f t="shared" si="0"/>
        <v>0</v>
      </c>
    </row>
    <row r="11" spans="1:16" s="53" customFormat="1" ht="18" customHeight="1" x14ac:dyDescent="0.15">
      <c r="A11" s="55"/>
      <c r="B11" s="56" t="s">
        <v>260</v>
      </c>
      <c r="C11" s="56" t="s">
        <v>258</v>
      </c>
      <c r="D11" s="47">
        <v>0</v>
      </c>
      <c r="E11" s="47">
        <f>E12</f>
        <v>0</v>
      </c>
      <c r="F11" s="48">
        <f>F12</f>
        <v>0</v>
      </c>
      <c r="G11" s="49" t="e">
        <f t="shared" si="1"/>
        <v>#DIV/0!</v>
      </c>
      <c r="H11" s="59"/>
      <c r="I11" s="61"/>
      <c r="J11" s="56" t="s">
        <v>62</v>
      </c>
      <c r="K11" s="47">
        <v>509510880</v>
      </c>
      <c r="L11" s="47">
        <f>[1]라.국도비세출!F10+'[1]라-3.후원금세출'!F12+'[1]라-2.자부담세출'!F12+'[1]라-1.도시(군)세출'!F9</f>
        <v>587891530</v>
      </c>
      <c r="M11" s="51">
        <f t="shared" si="2"/>
        <v>78380650</v>
      </c>
      <c r="N11" s="52">
        <f t="shared" si="0"/>
        <v>15.38350859161241</v>
      </c>
    </row>
    <row r="12" spans="1:16" s="53" customFormat="1" ht="18" customHeight="1" x14ac:dyDescent="0.15">
      <c r="A12" s="58"/>
      <c r="B12" s="56"/>
      <c r="C12" s="56" t="s">
        <v>262</v>
      </c>
      <c r="D12" s="47">
        <v>0</v>
      </c>
      <c r="E12" s="47">
        <f>'[1]다-2.자부담세입'!E12</f>
        <v>0</v>
      </c>
      <c r="F12" s="48">
        <f>E12-D12</f>
        <v>0</v>
      </c>
      <c r="G12" s="49" t="e">
        <f t="shared" si="1"/>
        <v>#DIV/0!</v>
      </c>
      <c r="H12" s="59"/>
      <c r="I12" s="61"/>
      <c r="J12" s="56" t="s">
        <v>263</v>
      </c>
      <c r="K12" s="47">
        <v>164978100</v>
      </c>
      <c r="L12" s="47">
        <f>[1]라.국도비세출!F15+'[1]라-3.후원금세출'!F26+'[1]라-2.자부담세출'!F26+'[1]라-1.도시(군)세출'!F14</f>
        <v>190069410</v>
      </c>
      <c r="M12" s="51">
        <f t="shared" si="2"/>
        <v>25091310</v>
      </c>
      <c r="N12" s="52">
        <f t="shared" si="0"/>
        <v>15.208873177712679</v>
      </c>
    </row>
    <row r="13" spans="1:16" s="53" customFormat="1" ht="18" customHeight="1" x14ac:dyDescent="0.15">
      <c r="A13" s="46" t="s">
        <v>264</v>
      </c>
      <c r="B13" s="1717" t="s">
        <v>255</v>
      </c>
      <c r="C13" s="1717"/>
      <c r="D13" s="47">
        <v>0</v>
      </c>
      <c r="E13" s="47">
        <f>E14</f>
        <v>0</v>
      </c>
      <c r="F13" s="48">
        <f>F14</f>
        <v>0</v>
      </c>
      <c r="G13" s="49" t="e">
        <f t="shared" si="1"/>
        <v>#DIV/0!</v>
      </c>
      <c r="H13" s="59"/>
      <c r="I13" s="61"/>
      <c r="J13" s="56" t="s">
        <v>265</v>
      </c>
      <c r="K13" s="47">
        <v>187693290</v>
      </c>
      <c r="L13" s="47">
        <f>[1]라.국도비세출!F16+'[1]라-3.후원금세출'!F27+'[1]라-2.자부담세출'!F27+'[1]라-1.도시(군)세출'!F15</f>
        <v>220892110</v>
      </c>
      <c r="M13" s="51">
        <f t="shared" si="2"/>
        <v>33198820</v>
      </c>
      <c r="N13" s="52">
        <f t="shared" si="0"/>
        <v>17.687803330635848</v>
      </c>
    </row>
    <row r="14" spans="1:16" s="53" customFormat="1" ht="18" customHeight="1" x14ac:dyDescent="0.15">
      <c r="A14" s="55"/>
      <c r="B14" s="56" t="s">
        <v>264</v>
      </c>
      <c r="C14" s="56" t="s">
        <v>258</v>
      </c>
      <c r="D14" s="47">
        <v>0</v>
      </c>
      <c r="E14" s="47">
        <f>E15</f>
        <v>0</v>
      </c>
      <c r="F14" s="48">
        <f>F15</f>
        <v>0</v>
      </c>
      <c r="G14" s="49" t="e">
        <f t="shared" si="1"/>
        <v>#DIV/0!</v>
      </c>
      <c r="H14" s="59"/>
      <c r="I14" s="62"/>
      <c r="J14" s="56" t="s">
        <v>266</v>
      </c>
      <c r="K14" s="47">
        <v>42000000</v>
      </c>
      <c r="L14" s="47">
        <f>[1]라.국도비세출!F21+'[1]라-2.자부담세출'!F32+'[1]라-3.후원금세출'!F32</f>
        <v>37000000</v>
      </c>
      <c r="M14" s="51">
        <f t="shared" si="2"/>
        <v>-5000000</v>
      </c>
      <c r="N14" s="52">
        <f t="shared" ref="N14:N44" si="3">M14/K14*100</f>
        <v>-11.904761904761903</v>
      </c>
    </row>
    <row r="15" spans="1:16" s="53" customFormat="1" ht="18" customHeight="1" x14ac:dyDescent="0.15">
      <c r="A15" s="58"/>
      <c r="B15" s="56"/>
      <c r="C15" s="56" t="s">
        <v>264</v>
      </c>
      <c r="D15" s="47">
        <v>0</v>
      </c>
      <c r="E15" s="47">
        <f>[1]다.국도시세입!F12+'[1]다-2.자부담세입'!E15</f>
        <v>0</v>
      </c>
      <c r="F15" s="48">
        <f>E15-D15</f>
        <v>0</v>
      </c>
      <c r="G15" s="49" t="e">
        <f t="shared" si="1"/>
        <v>#DIV/0!</v>
      </c>
      <c r="H15" s="59"/>
      <c r="I15" s="56" t="s">
        <v>267</v>
      </c>
      <c r="J15" s="56" t="s">
        <v>258</v>
      </c>
      <c r="K15" s="47">
        <v>2490000</v>
      </c>
      <c r="L15" s="47">
        <f>L16</f>
        <v>2000000</v>
      </c>
      <c r="M15" s="51">
        <f t="shared" si="2"/>
        <v>-490000</v>
      </c>
      <c r="N15" s="52">
        <f t="shared" si="3"/>
        <v>-19.678714859437751</v>
      </c>
    </row>
    <row r="16" spans="1:16" s="53" customFormat="1" ht="18" customHeight="1" x14ac:dyDescent="0.15">
      <c r="A16" s="46" t="s">
        <v>268</v>
      </c>
      <c r="B16" s="56" t="s">
        <v>255</v>
      </c>
      <c r="C16" s="56"/>
      <c r="D16" s="63">
        <v>2591323820</v>
      </c>
      <c r="E16" s="63">
        <f>E17+E23+E28</f>
        <v>2966170020</v>
      </c>
      <c r="F16" s="64">
        <f>F17+F23+F28</f>
        <v>374846200</v>
      </c>
      <c r="G16" s="49">
        <f t="shared" si="1"/>
        <v>14.46543257569407</v>
      </c>
      <c r="H16" s="59"/>
      <c r="I16" s="62"/>
      <c r="J16" s="56" t="s">
        <v>269</v>
      </c>
      <c r="K16" s="47">
        <v>2490000</v>
      </c>
      <c r="L16" s="47">
        <f>[1]라.국도비세출!F25+'[1]라-2.자부담세출'!F37+'[1]라-3.후원금세출'!F37</f>
        <v>2000000</v>
      </c>
      <c r="M16" s="51">
        <f t="shared" si="2"/>
        <v>-490000</v>
      </c>
      <c r="N16" s="52">
        <f t="shared" si="3"/>
        <v>-19.678714859437751</v>
      </c>
    </row>
    <row r="17" spans="1:14" s="53" customFormat="1" ht="18" customHeight="1" x14ac:dyDescent="0.15">
      <c r="A17" s="55"/>
      <c r="B17" s="56" t="str">
        <f>[1]다.국도시세입!B14</f>
        <v>보조금수입</v>
      </c>
      <c r="C17" s="56" t="s">
        <v>258</v>
      </c>
      <c r="D17" s="63">
        <f>SUM(D18:D21)</f>
        <v>2591323820</v>
      </c>
      <c r="E17" s="63">
        <f>SUM(E18:E21)</f>
        <v>2966170020</v>
      </c>
      <c r="F17" s="64">
        <f>SUM(F18:F21)</f>
        <v>374846200</v>
      </c>
      <c r="G17" s="49">
        <f t="shared" si="1"/>
        <v>14.46543257569407</v>
      </c>
      <c r="H17" s="59"/>
      <c r="I17" s="56" t="s">
        <v>270</v>
      </c>
      <c r="J17" s="56" t="s">
        <v>258</v>
      </c>
      <c r="K17" s="47">
        <v>233013910</v>
      </c>
      <c r="L17" s="47">
        <f>SUM(L18:L23)</f>
        <v>238812865</v>
      </c>
      <c r="M17" s="51">
        <f>SUM(M18:M23)</f>
        <v>5798955</v>
      </c>
      <c r="N17" s="52">
        <f t="shared" si="3"/>
        <v>2.4886733156831706</v>
      </c>
    </row>
    <row r="18" spans="1:14" s="53" customFormat="1" ht="18" customHeight="1" x14ac:dyDescent="0.15">
      <c r="A18" s="65"/>
      <c r="B18" s="60"/>
      <c r="C18" s="56" t="s">
        <v>271</v>
      </c>
      <c r="D18" s="63">
        <v>1672616764</v>
      </c>
      <c r="E18" s="63">
        <f>[1]다.국도시세입!F15</f>
        <v>1933028813</v>
      </c>
      <c r="F18" s="48">
        <f>E18-D18</f>
        <v>260412049</v>
      </c>
      <c r="G18" s="49">
        <f t="shared" si="1"/>
        <v>15.569140200247331</v>
      </c>
      <c r="H18" s="59"/>
      <c r="I18" s="60"/>
      <c r="J18" s="56" t="s">
        <v>272</v>
      </c>
      <c r="K18" s="47">
        <v>5000000</v>
      </c>
      <c r="L18" s="47">
        <f>[1]라.국도비세출!F27+'[1]라-3.후원금세출'!F39</f>
        <v>2000000</v>
      </c>
      <c r="M18" s="51">
        <f t="shared" ref="M18:M23" si="4">L18-K18</f>
        <v>-3000000</v>
      </c>
      <c r="N18" s="52">
        <f t="shared" si="3"/>
        <v>-60</v>
      </c>
    </row>
    <row r="19" spans="1:14" s="53" customFormat="1" ht="18" customHeight="1" x14ac:dyDescent="0.15">
      <c r="A19" s="66"/>
      <c r="B19" s="61"/>
      <c r="C19" s="56" t="str">
        <f>[1]다.국도시세입!C20</f>
        <v>시도보조금(30%)</v>
      </c>
      <c r="D19" s="63">
        <f>[1]다.국도시세입!E20</f>
        <v>717435756</v>
      </c>
      <c r="E19" s="63">
        <f>[1]다.국도시세입!F20</f>
        <v>829040577</v>
      </c>
      <c r="F19" s="48">
        <f>E19-D19</f>
        <v>111604821</v>
      </c>
      <c r="G19" s="49">
        <f t="shared" si="1"/>
        <v>15.556071755085481</v>
      </c>
      <c r="H19" s="59"/>
      <c r="I19" s="61"/>
      <c r="J19" s="56" t="s">
        <v>273</v>
      </c>
      <c r="K19" s="47">
        <v>55288080</v>
      </c>
      <c r="L19" s="47">
        <f>[1]라.국도비세출!F28+'[1]라-2.자부담세출'!F40+'[1]라-3.후원금세출'!F40</f>
        <v>58112415</v>
      </c>
      <c r="M19" s="51">
        <f t="shared" si="4"/>
        <v>2824335</v>
      </c>
      <c r="N19" s="52">
        <f t="shared" si="3"/>
        <v>5.1083976871687353</v>
      </c>
    </row>
    <row r="20" spans="1:14" s="53" customFormat="1" ht="18" customHeight="1" x14ac:dyDescent="0.15">
      <c r="A20" s="65"/>
      <c r="B20" s="61"/>
      <c r="C20" s="56" t="s">
        <v>274</v>
      </c>
      <c r="D20" s="63">
        <f>'[1]다-1.도시(군)세입'!E14</f>
        <v>194551300</v>
      </c>
      <c r="E20" s="63">
        <f>'[1]다-1.도시(군)세입'!F14</f>
        <v>197380630</v>
      </c>
      <c r="F20" s="48">
        <f>E20-D20</f>
        <v>2829330</v>
      </c>
      <c r="G20" s="49">
        <f t="shared" si="1"/>
        <v>1.4542848081714179</v>
      </c>
      <c r="H20" s="59"/>
      <c r="I20" s="61"/>
      <c r="J20" s="56" t="s">
        <v>275</v>
      </c>
      <c r="K20" s="47">
        <v>119100000</v>
      </c>
      <c r="L20" s="47">
        <f>[1]라.국도비세출!F29+'[1]라-2.자부담세출'!F41+'[1]라-3.후원금세출'!F43</f>
        <v>135000000</v>
      </c>
      <c r="M20" s="51">
        <f t="shared" si="4"/>
        <v>15900000</v>
      </c>
      <c r="N20" s="52">
        <f t="shared" si="3"/>
        <v>13.350125944584383</v>
      </c>
    </row>
    <row r="21" spans="1:14" s="53" customFormat="1" ht="18" customHeight="1" x14ac:dyDescent="0.15">
      <c r="A21" s="65"/>
      <c r="B21" s="61"/>
      <c r="C21" s="56" t="str">
        <f>'[1]다-1.도시(군)세입'!C22</f>
        <v>기타보조금</v>
      </c>
      <c r="D21" s="63">
        <f>'[1]다-1.도시(군)세입'!E22</f>
        <v>6720000</v>
      </c>
      <c r="E21" s="63">
        <f>'[1]다-1.도시(군)세입'!F22</f>
        <v>6720000</v>
      </c>
      <c r="F21" s="48">
        <f>E21-D21</f>
        <v>0</v>
      </c>
      <c r="G21" s="49">
        <v>0</v>
      </c>
      <c r="H21" s="59"/>
      <c r="I21" s="61"/>
      <c r="J21" s="56" t="s">
        <v>276</v>
      </c>
      <c r="K21" s="47">
        <v>13625830</v>
      </c>
      <c r="L21" s="47">
        <f>[1]라.국도비세출!F30+'[1]라-2.자부담세출'!F42+'[1]라-3.후원금세출'!F44</f>
        <v>13700450</v>
      </c>
      <c r="M21" s="51">
        <f t="shared" si="4"/>
        <v>74620</v>
      </c>
      <c r="N21" s="52">
        <f t="shared" si="3"/>
        <v>0.5476363641701093</v>
      </c>
    </row>
    <row r="22" spans="1:14" s="53" customFormat="1" ht="18" customHeight="1" x14ac:dyDescent="0.15">
      <c r="A22" s="67"/>
      <c r="B22" s="56"/>
      <c r="C22" s="56"/>
      <c r="D22" s="63">
        <v>0</v>
      </c>
      <c r="E22" s="63">
        <v>0</v>
      </c>
      <c r="F22" s="64">
        <f>C22-B22</f>
        <v>0</v>
      </c>
      <c r="G22" s="49">
        <v>0</v>
      </c>
      <c r="H22" s="59"/>
      <c r="I22" s="61"/>
      <c r="J22" s="56" t="s">
        <v>277</v>
      </c>
      <c r="K22" s="47">
        <v>26000000</v>
      </c>
      <c r="L22" s="47">
        <f>[1]라.국도비세출!F34+'[1]라-2.자부담세출'!F43+'[1]라-3.후원금세출'!F45</f>
        <v>23000000</v>
      </c>
      <c r="M22" s="51">
        <f t="shared" si="4"/>
        <v>-3000000</v>
      </c>
      <c r="N22" s="52">
        <f t="shared" si="3"/>
        <v>-11.538461538461538</v>
      </c>
    </row>
    <row r="23" spans="1:14" s="53" customFormat="1" ht="18" customHeight="1" x14ac:dyDescent="0.15">
      <c r="A23" s="65"/>
      <c r="B23" s="56"/>
      <c r="C23" s="56"/>
      <c r="D23" s="63">
        <v>0</v>
      </c>
      <c r="E23" s="63">
        <f>SUM(E24:E27)</f>
        <v>0</v>
      </c>
      <c r="F23" s="64">
        <f>SUM(F24:F27)</f>
        <v>0</v>
      </c>
      <c r="G23" s="49">
        <v>0</v>
      </c>
      <c r="H23" s="68"/>
      <c r="I23" s="62"/>
      <c r="J23" s="56" t="s">
        <v>278</v>
      </c>
      <c r="K23" s="47">
        <v>14000000</v>
      </c>
      <c r="L23" s="47">
        <f>[1]라.국도비세출!F35+'[1]라-2.자부담세출'!F44+'[1]라-3.후원금세출'!F46</f>
        <v>7000000</v>
      </c>
      <c r="M23" s="51">
        <f t="shared" si="4"/>
        <v>-7000000</v>
      </c>
      <c r="N23" s="52">
        <f t="shared" si="3"/>
        <v>-50</v>
      </c>
    </row>
    <row r="24" spans="1:14" s="53" customFormat="1" ht="18" customHeight="1" x14ac:dyDescent="0.15">
      <c r="A24" s="65"/>
      <c r="B24" s="60"/>
      <c r="C24" s="56"/>
      <c r="D24" s="63">
        <v>0</v>
      </c>
      <c r="E24" s="63">
        <f>[1]다.국도시세입!F28</f>
        <v>0</v>
      </c>
      <c r="F24" s="64">
        <f>C24-B24</f>
        <v>0</v>
      </c>
      <c r="G24" s="49">
        <v>0</v>
      </c>
      <c r="H24" s="50" t="s">
        <v>279</v>
      </c>
      <c r="I24" s="56" t="s">
        <v>255</v>
      </c>
      <c r="J24" s="56"/>
      <c r="K24" s="47">
        <v>167900000</v>
      </c>
      <c r="L24" s="47">
        <f>SUM(L25)</f>
        <v>229830000</v>
      </c>
      <c r="M24" s="51">
        <f>M25</f>
        <v>61930000</v>
      </c>
      <c r="N24" s="52">
        <f t="shared" si="3"/>
        <v>36.885050625372244</v>
      </c>
    </row>
    <row r="25" spans="1:14" s="69" customFormat="1" ht="18" customHeight="1" x14ac:dyDescent="0.15">
      <c r="A25" s="65"/>
      <c r="B25" s="61"/>
      <c r="C25" s="56"/>
      <c r="D25" s="63">
        <v>0</v>
      </c>
      <c r="E25" s="63">
        <f>[1]다.국도시세입!F29</f>
        <v>0</v>
      </c>
      <c r="F25" s="64">
        <f>C25-B25</f>
        <v>0</v>
      </c>
      <c r="G25" s="49">
        <v>0</v>
      </c>
      <c r="H25" s="57"/>
      <c r="I25" s="56" t="s">
        <v>280</v>
      </c>
      <c r="J25" s="56" t="s">
        <v>258</v>
      </c>
      <c r="K25" s="47">
        <v>167900000</v>
      </c>
      <c r="L25" s="47">
        <f>SUM(L26:L28)</f>
        <v>229830000</v>
      </c>
      <c r="M25" s="51">
        <f>SUM(M26:M28)</f>
        <v>61930000</v>
      </c>
      <c r="N25" s="52">
        <f t="shared" si="3"/>
        <v>36.885050625372244</v>
      </c>
    </row>
    <row r="26" spans="1:14" s="69" customFormat="1" ht="18" customHeight="1" x14ac:dyDescent="0.15">
      <c r="A26" s="65"/>
      <c r="B26" s="61"/>
      <c r="C26" s="56"/>
      <c r="D26" s="63">
        <v>0</v>
      </c>
      <c r="E26" s="63">
        <f>[1]다.국도시세입!F30</f>
        <v>0</v>
      </c>
      <c r="F26" s="64">
        <f>C26-B26</f>
        <v>0</v>
      </c>
      <c r="G26" s="49">
        <v>0</v>
      </c>
      <c r="H26" s="59"/>
      <c r="I26" s="60"/>
      <c r="J26" s="56" t="s">
        <v>280</v>
      </c>
      <c r="K26" s="47">
        <v>10000000</v>
      </c>
      <c r="L26" s="47">
        <f>[1]라.국도비세출!F38+'[1]라-2.자부담세출'!F47+'[1]라-3.후원금세출'!F49</f>
        <v>0</v>
      </c>
      <c r="M26" s="51">
        <f>L26-K26</f>
        <v>-10000000</v>
      </c>
      <c r="N26" s="52">
        <f t="shared" si="3"/>
        <v>-100</v>
      </c>
    </row>
    <row r="27" spans="1:14" s="45" customFormat="1" ht="18" customHeight="1" x14ac:dyDescent="0.15">
      <c r="A27" s="65"/>
      <c r="B27" s="62"/>
      <c r="C27" s="56"/>
      <c r="D27" s="63">
        <v>0</v>
      </c>
      <c r="E27" s="63">
        <f>[1]다.국도시세입!F31</f>
        <v>0</v>
      </c>
      <c r="F27" s="64">
        <f>C27-B27</f>
        <v>0</v>
      </c>
      <c r="G27" s="49">
        <v>0</v>
      </c>
      <c r="H27" s="59"/>
      <c r="I27" s="61"/>
      <c r="J27" s="56" t="s">
        <v>281</v>
      </c>
      <c r="K27" s="47">
        <v>65900000</v>
      </c>
      <c r="L27" s="47">
        <f>[1]라.국도비세출!F39+'[1]라-2.자부담세출'!F48+'[1]라-3.후원금세출'!F50</f>
        <v>107730000</v>
      </c>
      <c r="M27" s="51">
        <f>L27-K27</f>
        <v>41830000</v>
      </c>
      <c r="N27" s="52">
        <f t="shared" si="3"/>
        <v>63.474962063732931</v>
      </c>
    </row>
    <row r="28" spans="1:14" s="45" customFormat="1" ht="18" customHeight="1" x14ac:dyDescent="0.15">
      <c r="A28" s="65"/>
      <c r="B28" s="56"/>
      <c r="C28" s="56"/>
      <c r="D28" s="63">
        <v>0</v>
      </c>
      <c r="E28" s="63">
        <f>E29</f>
        <v>0</v>
      </c>
      <c r="F28" s="64">
        <f>F29</f>
        <v>0</v>
      </c>
      <c r="G28" s="49">
        <v>0</v>
      </c>
      <c r="H28" s="68"/>
      <c r="I28" s="62"/>
      <c r="J28" s="56" t="s">
        <v>282</v>
      </c>
      <c r="K28" s="47">
        <v>92000000</v>
      </c>
      <c r="L28" s="47">
        <f>[1]라.국도비세출!F40+'[1]라-2.자부담세출'!F49+'[1]라-3.후원금세출'!F51</f>
        <v>122100000</v>
      </c>
      <c r="M28" s="51">
        <f>L28-K28</f>
        <v>30100000</v>
      </c>
      <c r="N28" s="52">
        <f t="shared" si="3"/>
        <v>32.717391304347828</v>
      </c>
    </row>
    <row r="29" spans="1:14" s="53" customFormat="1" ht="18" customHeight="1" x14ac:dyDescent="0.15">
      <c r="A29" s="58"/>
      <c r="B29" s="56"/>
      <c r="C29" s="56"/>
      <c r="D29" s="63">
        <v>0</v>
      </c>
      <c r="E29" s="63">
        <f>'[1]다-3.후원금세입'!E14</f>
        <v>0</v>
      </c>
      <c r="F29" s="48">
        <f>E29-D29</f>
        <v>0</v>
      </c>
      <c r="G29" s="49">
        <v>0</v>
      </c>
      <c r="H29" s="50" t="s">
        <v>283</v>
      </c>
      <c r="I29" s="56" t="s">
        <v>255</v>
      </c>
      <c r="J29" s="56"/>
      <c r="K29" s="47">
        <v>401372640</v>
      </c>
      <c r="L29" s="47">
        <f>SUM(L30,L36,L43)</f>
        <v>408115000</v>
      </c>
      <c r="M29" s="51">
        <f>L29-K29</f>
        <v>6742360</v>
      </c>
      <c r="N29" s="52">
        <f t="shared" si="3"/>
        <v>1.6798255107772169</v>
      </c>
    </row>
    <row r="30" spans="1:14" s="53" customFormat="1" ht="18" customHeight="1" x14ac:dyDescent="0.15">
      <c r="A30" s="46" t="s">
        <v>284</v>
      </c>
      <c r="B30" s="56" t="s">
        <v>255</v>
      </c>
      <c r="C30" s="56"/>
      <c r="D30" s="63">
        <v>364200000</v>
      </c>
      <c r="E30" s="63">
        <f>E31+E34</f>
        <v>378500000</v>
      </c>
      <c r="F30" s="64">
        <f>F31+F34</f>
        <v>14300000</v>
      </c>
      <c r="G30" s="49">
        <f t="shared" si="1"/>
        <v>3.9264140582097746</v>
      </c>
      <c r="H30" s="57"/>
      <c r="I30" s="56" t="s">
        <v>270</v>
      </c>
      <c r="J30" s="56" t="s">
        <v>258</v>
      </c>
      <c r="K30" s="47">
        <v>254332640</v>
      </c>
      <c r="L30" s="47">
        <f>SUM(L31:L35)</f>
        <v>274239200</v>
      </c>
      <c r="M30" s="51">
        <f>SUM(M31:M35)</f>
        <v>19906560</v>
      </c>
      <c r="N30" s="52">
        <f t="shared" si="3"/>
        <v>7.8269780866506169</v>
      </c>
    </row>
    <row r="31" spans="1:14" s="53" customFormat="1" ht="18" customHeight="1" x14ac:dyDescent="0.15">
      <c r="A31" s="55"/>
      <c r="B31" s="56" t="s">
        <v>285</v>
      </c>
      <c r="C31" s="56" t="s">
        <v>258</v>
      </c>
      <c r="D31" s="63">
        <v>364200000</v>
      </c>
      <c r="E31" s="63">
        <f>SUM(E32:E33)</f>
        <v>378500000</v>
      </c>
      <c r="F31" s="64">
        <f>SUM(F32:F33)</f>
        <v>14300000</v>
      </c>
      <c r="G31" s="49">
        <f t="shared" si="1"/>
        <v>3.9264140582097746</v>
      </c>
      <c r="H31" s="59"/>
      <c r="I31" s="60"/>
      <c r="J31" s="70" t="s">
        <v>286</v>
      </c>
      <c r="K31" s="47">
        <v>209362640</v>
      </c>
      <c r="L31" s="47">
        <f>[1]라.국도비세출!F44+[1]라.국도비세출!F45+[1]라.국도비세출!F46+'[1]라-2.자부담세출'!F52+'[1]라-3.후원금세출'!F54</f>
        <v>230739200</v>
      </c>
      <c r="M31" s="51">
        <f t="shared" ref="M31:M42" si="5">L31-K31</f>
        <v>21376560</v>
      </c>
      <c r="N31" s="52">
        <f t="shared" si="3"/>
        <v>10.210303041650603</v>
      </c>
    </row>
    <row r="32" spans="1:14" s="53" customFormat="1" ht="18" customHeight="1" x14ac:dyDescent="0.15">
      <c r="A32" s="65"/>
      <c r="B32" s="60"/>
      <c r="C32" s="56" t="s">
        <v>287</v>
      </c>
      <c r="D32" s="63">
        <v>14200000</v>
      </c>
      <c r="E32" s="63">
        <f>'[1]다-3.후원금세입'!E18</f>
        <v>38500000</v>
      </c>
      <c r="F32" s="48">
        <f>E32-D32</f>
        <v>24300000</v>
      </c>
      <c r="G32" s="49">
        <f t="shared" si="1"/>
        <v>171.12676056338029</v>
      </c>
      <c r="H32" s="59"/>
      <c r="I32" s="61"/>
      <c r="J32" s="56" t="s">
        <v>288</v>
      </c>
      <c r="K32" s="47">
        <v>4000000</v>
      </c>
      <c r="L32" s="47">
        <f>'[1]라-2.자부담세출'!F53</f>
        <v>4000000</v>
      </c>
      <c r="M32" s="51">
        <f t="shared" si="5"/>
        <v>0</v>
      </c>
      <c r="N32" s="52">
        <f t="shared" si="3"/>
        <v>0</v>
      </c>
    </row>
    <row r="33" spans="1:14" s="53" customFormat="1" ht="18" customHeight="1" x14ac:dyDescent="0.15">
      <c r="A33" s="65"/>
      <c r="B33" s="62"/>
      <c r="C33" s="56" t="s">
        <v>289</v>
      </c>
      <c r="D33" s="63">
        <v>350000000</v>
      </c>
      <c r="E33" s="63">
        <f>'[1]다-3.후원금세입'!E19</f>
        <v>340000000</v>
      </c>
      <c r="F33" s="48">
        <f>E33-D33</f>
        <v>-10000000</v>
      </c>
      <c r="G33" s="49">
        <f t="shared" si="1"/>
        <v>-2.8571428571428572</v>
      </c>
      <c r="H33" s="59"/>
      <c r="I33" s="61"/>
      <c r="J33" s="56" t="str">
        <f>'[1]라-2.자부담세출'!C54</f>
        <v>수용기관경비</v>
      </c>
      <c r="K33" s="47">
        <v>37970000</v>
      </c>
      <c r="L33" s="47">
        <f>[1]라.국도비세출!F47+'[1]라-2.자부담세출'!F54+'[1]라-3.후원금세출'!F55</f>
        <v>36500000</v>
      </c>
      <c r="M33" s="51">
        <f t="shared" si="5"/>
        <v>-1470000</v>
      </c>
      <c r="N33" s="52">
        <f t="shared" si="3"/>
        <v>-3.871477482222808</v>
      </c>
    </row>
    <row r="34" spans="1:14" s="53" customFormat="1" ht="18" customHeight="1" x14ac:dyDescent="0.15">
      <c r="A34" s="65"/>
      <c r="B34" s="56"/>
      <c r="C34" s="56"/>
      <c r="D34" s="63">
        <v>0</v>
      </c>
      <c r="E34" s="63">
        <f t="shared" ref="E34:F37" si="6">E35</f>
        <v>0</v>
      </c>
      <c r="F34" s="64">
        <f t="shared" si="6"/>
        <v>0</v>
      </c>
      <c r="G34" s="49">
        <v>0</v>
      </c>
      <c r="H34" s="59"/>
      <c r="I34" s="61"/>
      <c r="J34" s="56" t="s">
        <v>290</v>
      </c>
      <c r="K34" s="47">
        <v>3000000</v>
      </c>
      <c r="L34" s="47">
        <f>'[1]라-2.자부담세출'!F57+'[1]라-3.후원금세출'!F59</f>
        <v>3000000</v>
      </c>
      <c r="M34" s="51">
        <f t="shared" si="5"/>
        <v>0</v>
      </c>
      <c r="N34" s="52">
        <f t="shared" si="3"/>
        <v>0</v>
      </c>
    </row>
    <row r="35" spans="1:14" s="53" customFormat="1" ht="18" customHeight="1" x14ac:dyDescent="0.15">
      <c r="A35" s="58"/>
      <c r="B35" s="56"/>
      <c r="C35" s="56"/>
      <c r="D35" s="63">
        <v>0</v>
      </c>
      <c r="E35" s="63">
        <f>'[1]다-3.후원금세입'!E20</f>
        <v>0</v>
      </c>
      <c r="F35" s="48">
        <f>E35-D35</f>
        <v>0</v>
      </c>
      <c r="G35" s="49">
        <v>0</v>
      </c>
      <c r="H35" s="59"/>
      <c r="I35" s="62"/>
      <c r="J35" s="56" t="s">
        <v>291</v>
      </c>
      <c r="K35" s="47">
        <v>0</v>
      </c>
      <c r="L35" s="47">
        <f>'[1]라-3.후원금세출'!F64</f>
        <v>0</v>
      </c>
      <c r="M35" s="51">
        <f t="shared" si="5"/>
        <v>0</v>
      </c>
      <c r="N35" s="52" t="e">
        <f t="shared" si="3"/>
        <v>#DIV/0!</v>
      </c>
    </row>
    <row r="36" spans="1:14" s="53" customFormat="1" ht="18" customHeight="1" x14ac:dyDescent="0.15">
      <c r="A36" s="46" t="s">
        <v>292</v>
      </c>
      <c r="B36" s="56" t="s">
        <v>255</v>
      </c>
      <c r="C36" s="56"/>
      <c r="D36" s="63">
        <v>40000000</v>
      </c>
      <c r="E36" s="63">
        <f t="shared" si="6"/>
        <v>40000000</v>
      </c>
      <c r="F36" s="64">
        <f t="shared" si="6"/>
        <v>0</v>
      </c>
      <c r="G36" s="49">
        <f>F36/D36*100</f>
        <v>0</v>
      </c>
      <c r="H36" s="59"/>
      <c r="I36" s="56" t="s">
        <v>283</v>
      </c>
      <c r="J36" s="56" t="s">
        <v>258</v>
      </c>
      <c r="K36" s="47">
        <v>145540000</v>
      </c>
      <c r="L36" s="47">
        <f>SUM(L37:L42)</f>
        <v>131055800</v>
      </c>
      <c r="M36" s="51">
        <f t="shared" si="5"/>
        <v>-14484200</v>
      </c>
      <c r="N36" s="52">
        <f t="shared" si="3"/>
        <v>-9.95204067610279</v>
      </c>
    </row>
    <row r="37" spans="1:14" s="53" customFormat="1" ht="18" customHeight="1" x14ac:dyDescent="0.15">
      <c r="A37" s="55"/>
      <c r="B37" s="56" t="s">
        <v>292</v>
      </c>
      <c r="C37" s="56" t="s">
        <v>258</v>
      </c>
      <c r="D37" s="63">
        <v>40000000</v>
      </c>
      <c r="E37" s="63">
        <f t="shared" si="6"/>
        <v>40000000</v>
      </c>
      <c r="F37" s="64">
        <f t="shared" si="6"/>
        <v>0</v>
      </c>
      <c r="G37" s="49">
        <f t="shared" si="1"/>
        <v>0</v>
      </c>
      <c r="H37" s="59"/>
      <c r="I37" s="61"/>
      <c r="J37" s="56" t="s">
        <v>293</v>
      </c>
      <c r="K37" s="47">
        <v>89000000</v>
      </c>
      <c r="L37" s="47">
        <f>[1]라.국도비세출!F51+'[1]라-2.자부담세출'!F75+'[1]라-3.후원금세출'!F78</f>
        <v>72427000</v>
      </c>
      <c r="M37" s="51">
        <f t="shared" si="5"/>
        <v>-16573000</v>
      </c>
      <c r="N37" s="52">
        <f t="shared" si="3"/>
        <v>-18.621348314606742</v>
      </c>
    </row>
    <row r="38" spans="1:14" s="53" customFormat="1" ht="18" customHeight="1" x14ac:dyDescent="0.15">
      <c r="A38" s="58"/>
      <c r="B38" s="56"/>
      <c r="C38" s="56" t="s">
        <v>294</v>
      </c>
      <c r="D38" s="63">
        <v>40000000</v>
      </c>
      <c r="E38" s="63">
        <f>'[1]다-2.자부담세입'!E25</f>
        <v>40000000</v>
      </c>
      <c r="F38" s="48">
        <f>E38-D38</f>
        <v>0</v>
      </c>
      <c r="G38" s="49">
        <f t="shared" si="1"/>
        <v>0</v>
      </c>
      <c r="H38" s="59"/>
      <c r="I38" s="61"/>
      <c r="J38" s="56" t="s">
        <v>234</v>
      </c>
      <c r="K38" s="47">
        <v>5000000</v>
      </c>
      <c r="L38" s="47">
        <f>'[1]라-2.자부담세출'!F77+'[1]라-3.후원금세출'!F80</f>
        <v>5000000</v>
      </c>
      <c r="M38" s="51">
        <f t="shared" si="5"/>
        <v>0</v>
      </c>
      <c r="N38" s="52">
        <f t="shared" si="3"/>
        <v>0</v>
      </c>
    </row>
    <row r="39" spans="1:14" s="53" customFormat="1" ht="18" customHeight="1" x14ac:dyDescent="0.15">
      <c r="A39" s="46" t="s">
        <v>295</v>
      </c>
      <c r="B39" s="56" t="s">
        <v>255</v>
      </c>
      <c r="C39" s="56"/>
      <c r="D39" s="63">
        <v>53487000</v>
      </c>
      <c r="E39" s="63">
        <f>E40</f>
        <v>53404680</v>
      </c>
      <c r="F39" s="64">
        <f>F40</f>
        <v>-82320</v>
      </c>
      <c r="G39" s="49">
        <f t="shared" si="1"/>
        <v>-0.15390655673341186</v>
      </c>
      <c r="H39" s="59"/>
      <c r="I39" s="61"/>
      <c r="J39" s="56" t="s">
        <v>235</v>
      </c>
      <c r="K39" s="47">
        <v>32840000</v>
      </c>
      <c r="L39" s="47">
        <f>'[1]라-1.도시(군)세출'!F25</f>
        <v>32840000</v>
      </c>
      <c r="M39" s="51">
        <f t="shared" si="5"/>
        <v>0</v>
      </c>
      <c r="N39" s="52">
        <f t="shared" si="3"/>
        <v>0</v>
      </c>
    </row>
    <row r="40" spans="1:14" s="53" customFormat="1" ht="18" customHeight="1" x14ac:dyDescent="0.15">
      <c r="A40" s="55"/>
      <c r="B40" s="56" t="s">
        <v>295</v>
      </c>
      <c r="C40" s="56" t="s">
        <v>258</v>
      </c>
      <c r="D40" s="63">
        <v>53487000</v>
      </c>
      <c r="E40" s="63">
        <f>SUM(E41:E42)</f>
        <v>53404680</v>
      </c>
      <c r="F40" s="64">
        <f>SUM(F41:F42)</f>
        <v>-82320</v>
      </c>
      <c r="G40" s="49">
        <f t="shared" si="1"/>
        <v>-0.15390655673341186</v>
      </c>
      <c r="H40" s="59"/>
      <c r="I40" s="61"/>
      <c r="J40" s="56" t="s">
        <v>236</v>
      </c>
      <c r="K40" s="47">
        <v>6600000</v>
      </c>
      <c r="L40" s="47">
        <f>'[1]라-1.도시(군)세출'!F21</f>
        <v>6600000</v>
      </c>
      <c r="M40" s="51">
        <f t="shared" si="5"/>
        <v>0</v>
      </c>
      <c r="N40" s="52">
        <f t="shared" si="3"/>
        <v>0</v>
      </c>
    </row>
    <row r="41" spans="1:14" s="53" customFormat="1" ht="18" customHeight="1" x14ac:dyDescent="0.15">
      <c r="A41" s="65"/>
      <c r="B41" s="60"/>
      <c r="C41" s="56" t="s">
        <v>296</v>
      </c>
      <c r="D41" s="63">
        <v>53487000</v>
      </c>
      <c r="E41" s="63">
        <f>[1]다.국도시세입!F34+'[1]다-2.자부담세입'!E28+'[1]다-3.후원금세입'!E31+'[1]다-1.도시(군)세입'!F23</f>
        <v>53404680</v>
      </c>
      <c r="F41" s="48">
        <f>E41-D41</f>
        <v>-82320</v>
      </c>
      <c r="G41" s="49">
        <f t="shared" si="1"/>
        <v>-0.15390655673341186</v>
      </c>
      <c r="H41" s="59"/>
      <c r="I41" s="61"/>
      <c r="J41" s="56" t="s">
        <v>297</v>
      </c>
      <c r="K41" s="47">
        <v>10000000</v>
      </c>
      <c r="L41" s="47">
        <f>'[1]라-1.도시(군)세출'!F32+'[1]라-3.후원금세출'!F81</f>
        <v>10000000</v>
      </c>
      <c r="M41" s="51">
        <f t="shared" si="5"/>
        <v>0</v>
      </c>
      <c r="N41" s="52">
        <f t="shared" si="3"/>
        <v>0</v>
      </c>
    </row>
    <row r="42" spans="1:14" s="53" customFormat="1" ht="18" customHeight="1" x14ac:dyDescent="0.15">
      <c r="A42" s="58"/>
      <c r="B42" s="62"/>
      <c r="C42" s="56" t="s">
        <v>298</v>
      </c>
      <c r="D42" s="63">
        <v>0</v>
      </c>
      <c r="E42" s="63">
        <f>[1]다.국도시세입!F35+'[1]다-2.자부담세입'!E29</f>
        <v>0</v>
      </c>
      <c r="F42" s="48">
        <f>E42-D42</f>
        <v>0</v>
      </c>
      <c r="G42" s="49"/>
      <c r="H42" s="59"/>
      <c r="I42" s="61"/>
      <c r="J42" s="56" t="s">
        <v>238</v>
      </c>
      <c r="K42" s="47">
        <v>2100000</v>
      </c>
      <c r="L42" s="47">
        <f>[1]라.국도비세출!F52+'[1]라-1.도시(군)세출'!F33</f>
        <v>4188800</v>
      </c>
      <c r="M42" s="51">
        <f t="shared" si="5"/>
        <v>2088800</v>
      </c>
      <c r="N42" s="52">
        <f t="shared" si="3"/>
        <v>99.466666666666669</v>
      </c>
    </row>
    <row r="43" spans="1:14" s="53" customFormat="1" ht="18" customHeight="1" x14ac:dyDescent="0.15">
      <c r="A43" s="46" t="s">
        <v>299</v>
      </c>
      <c r="B43" s="56" t="s">
        <v>255</v>
      </c>
      <c r="C43" s="56"/>
      <c r="D43" s="63">
        <v>47309180</v>
      </c>
      <c r="E43" s="63">
        <f>E44</f>
        <v>61295300</v>
      </c>
      <c r="F43" s="64">
        <f>F44</f>
        <v>13986120</v>
      </c>
      <c r="G43" s="49">
        <f t="shared" si="1"/>
        <v>29.563226418213123</v>
      </c>
      <c r="H43" s="59"/>
      <c r="I43" s="56" t="s">
        <v>300</v>
      </c>
      <c r="J43" s="56" t="s">
        <v>258</v>
      </c>
      <c r="K43" s="47">
        <v>1500000</v>
      </c>
      <c r="L43" s="47">
        <f>L44</f>
        <v>2820000</v>
      </c>
      <c r="M43" s="51">
        <f>M44</f>
        <v>1320000</v>
      </c>
      <c r="N43" s="52">
        <f t="shared" si="3"/>
        <v>88</v>
      </c>
    </row>
    <row r="44" spans="1:14" s="53" customFormat="1" ht="18" customHeight="1" x14ac:dyDescent="0.15">
      <c r="A44" s="55"/>
      <c r="B44" s="56" t="s">
        <v>299</v>
      </c>
      <c r="C44" s="56" t="s">
        <v>258</v>
      </c>
      <c r="D44" s="63">
        <v>47309180</v>
      </c>
      <c r="E44" s="63">
        <f>SUM(E45:E47)</f>
        <v>61295300</v>
      </c>
      <c r="F44" s="64">
        <f>SUM(F45:F47)</f>
        <v>13986120</v>
      </c>
      <c r="G44" s="49">
        <f t="shared" si="1"/>
        <v>29.563226418213123</v>
      </c>
      <c r="H44" s="68"/>
      <c r="I44" s="56"/>
      <c r="J44" s="56" t="s">
        <v>301</v>
      </c>
      <c r="K44" s="47">
        <v>1500000</v>
      </c>
      <c r="L44" s="47">
        <f>'[1]라-3.후원금세출'!F88</f>
        <v>2820000</v>
      </c>
      <c r="M44" s="51">
        <f>L44-K44</f>
        <v>1320000</v>
      </c>
      <c r="N44" s="52">
        <f t="shared" si="3"/>
        <v>88</v>
      </c>
    </row>
    <row r="45" spans="1:14" s="53" customFormat="1" ht="18" customHeight="1" x14ac:dyDescent="0.15">
      <c r="A45" s="65"/>
      <c r="B45" s="60"/>
      <c r="C45" s="56" t="s">
        <v>302</v>
      </c>
      <c r="D45" s="63">
        <v>500000</v>
      </c>
      <c r="E45" s="63">
        <f>[1]다.국도시세입!F38+'[1]다-2.자부담세입'!E32</f>
        <v>500000</v>
      </c>
      <c r="F45" s="48">
        <f>E45-D45</f>
        <v>0</v>
      </c>
      <c r="G45" s="49">
        <f t="shared" si="1"/>
        <v>0</v>
      </c>
      <c r="H45" s="50" t="s">
        <v>303</v>
      </c>
      <c r="I45" s="56" t="s">
        <v>255</v>
      </c>
      <c r="J45" s="56"/>
      <c r="K45" s="47">
        <v>800000</v>
      </c>
      <c r="L45" s="47">
        <f>L46</f>
        <v>1040105</v>
      </c>
      <c r="M45" s="51">
        <f>M46</f>
        <v>240105</v>
      </c>
      <c r="N45" s="52">
        <f t="shared" ref="N45:N53" si="7">M44/K44*100</f>
        <v>88</v>
      </c>
    </row>
    <row r="46" spans="1:14" s="53" customFormat="1" ht="18" customHeight="1" x14ac:dyDescent="0.15">
      <c r="A46" s="65"/>
      <c r="B46" s="61"/>
      <c r="C46" s="56" t="s">
        <v>304</v>
      </c>
      <c r="D46" s="63">
        <v>1759180</v>
      </c>
      <c r="E46" s="63">
        <f>[1]다.국도시세입!F39+'[1]다-2.자부담세입'!E33+'[1]다-3.후원금세입'!E36+'[1]다-1.도시(군)세입'!F30</f>
        <v>1745300</v>
      </c>
      <c r="F46" s="48">
        <f>E46-D46</f>
        <v>-13880</v>
      </c>
      <c r="G46" s="49">
        <f t="shared" si="1"/>
        <v>-0.78900396775770532</v>
      </c>
      <c r="H46" s="57"/>
      <c r="I46" s="56" t="s">
        <v>303</v>
      </c>
      <c r="J46" s="56" t="s">
        <v>258</v>
      </c>
      <c r="K46" s="47">
        <v>800000</v>
      </c>
      <c r="L46" s="47">
        <f>SUM(L47)</f>
        <v>1040105</v>
      </c>
      <c r="M46" s="51">
        <f>M47</f>
        <v>240105</v>
      </c>
      <c r="N46" s="52">
        <f t="shared" si="7"/>
        <v>30.013125000000002</v>
      </c>
    </row>
    <row r="47" spans="1:14" s="53" customFormat="1" ht="18" customHeight="1" x14ac:dyDescent="0.15">
      <c r="A47" s="65"/>
      <c r="B47" s="62"/>
      <c r="C47" s="60" t="s">
        <v>305</v>
      </c>
      <c r="D47" s="71">
        <v>45050000</v>
      </c>
      <c r="E47" s="71">
        <f>[1]다.국도시세입!F40+'[1]다-2.자부담세입'!E34</f>
        <v>59050000</v>
      </c>
      <c r="F47" s="48">
        <f>E47-D47</f>
        <v>14000000</v>
      </c>
      <c r="G47" s="49">
        <f t="shared" si="1"/>
        <v>31.076581576026634</v>
      </c>
      <c r="H47" s="68"/>
      <c r="I47" s="56"/>
      <c r="J47" s="56" t="s">
        <v>303</v>
      </c>
      <c r="K47" s="47">
        <v>800000</v>
      </c>
      <c r="L47" s="47">
        <f>'[1]라-3.후원금세출'!F90</f>
        <v>1040105</v>
      </c>
      <c r="M47" s="51">
        <f>L47-K47</f>
        <v>240105</v>
      </c>
      <c r="N47" s="52">
        <f t="shared" si="7"/>
        <v>30.013125000000002</v>
      </c>
    </row>
    <row r="48" spans="1:14" s="53" customFormat="1" ht="18" customHeight="1" x14ac:dyDescent="0.15">
      <c r="A48" s="72"/>
      <c r="B48" s="73"/>
      <c r="C48" s="73"/>
      <c r="D48" s="73"/>
      <c r="E48" s="73"/>
      <c r="F48" s="74"/>
      <c r="G48" s="49"/>
      <c r="H48" s="50" t="s">
        <v>306</v>
      </c>
      <c r="I48" s="56" t="s">
        <v>255</v>
      </c>
      <c r="J48" s="56"/>
      <c r="K48" s="47">
        <v>609180</v>
      </c>
      <c r="L48" s="47">
        <f>SUM(L49)</f>
        <v>636790</v>
      </c>
      <c r="M48" s="51">
        <f>M49</f>
        <v>27610</v>
      </c>
      <c r="N48" s="52">
        <f t="shared" si="7"/>
        <v>30.013125000000002</v>
      </c>
    </row>
    <row r="49" spans="1:14" s="53" customFormat="1" ht="18" customHeight="1" x14ac:dyDescent="0.15">
      <c r="A49" s="55"/>
      <c r="B49" s="60"/>
      <c r="C49" s="60"/>
      <c r="D49" s="75"/>
      <c r="E49" s="75"/>
      <c r="F49" s="74"/>
      <c r="G49" s="49"/>
      <c r="H49" s="57"/>
      <c r="I49" s="56" t="s">
        <v>306</v>
      </c>
      <c r="J49" s="56" t="s">
        <v>258</v>
      </c>
      <c r="K49" s="47">
        <v>609180</v>
      </c>
      <c r="L49" s="47">
        <f>SUM(L50)</f>
        <v>636790</v>
      </c>
      <c r="M49" s="51">
        <f>M50</f>
        <v>27610</v>
      </c>
      <c r="N49" s="52">
        <f t="shared" si="7"/>
        <v>4.5323221379559406</v>
      </c>
    </row>
    <row r="50" spans="1:14" s="53" customFormat="1" ht="18" customHeight="1" x14ac:dyDescent="0.15">
      <c r="A50" s="65"/>
      <c r="B50" s="61"/>
      <c r="C50" s="61"/>
      <c r="D50" s="76"/>
      <c r="E50" s="76"/>
      <c r="F50" s="74"/>
      <c r="G50" s="49"/>
      <c r="H50" s="68"/>
      <c r="I50" s="56"/>
      <c r="J50" s="56" t="s">
        <v>306</v>
      </c>
      <c r="K50" s="47">
        <v>609180</v>
      </c>
      <c r="L50" s="47">
        <f>[1]라.국도비세출!F58+'[1]라-1.도시(군)세출'!F36</f>
        <v>636790</v>
      </c>
      <c r="M50" s="51">
        <f>L50-K50</f>
        <v>27610</v>
      </c>
      <c r="N50" s="52">
        <f t="shared" si="7"/>
        <v>4.5323221379559406</v>
      </c>
    </row>
    <row r="51" spans="1:14" s="53" customFormat="1" ht="18" customHeight="1" x14ac:dyDescent="0.15">
      <c r="A51" s="65"/>
      <c r="B51" s="61"/>
      <c r="C51" s="61"/>
      <c r="D51" s="76"/>
      <c r="E51" s="76"/>
      <c r="F51" s="74"/>
      <c r="G51" s="77"/>
      <c r="H51" s="68" t="s">
        <v>307</v>
      </c>
      <c r="I51" s="62" t="s">
        <v>255</v>
      </c>
      <c r="J51" s="62"/>
      <c r="K51" s="78">
        <v>31287000</v>
      </c>
      <c r="L51" s="78">
        <f>SUM(L52)</f>
        <v>8513190</v>
      </c>
      <c r="M51" s="79">
        <f>M52</f>
        <v>-22773810</v>
      </c>
      <c r="N51" s="52">
        <f t="shared" si="7"/>
        <v>4.5323221379559406</v>
      </c>
    </row>
    <row r="52" spans="1:14" s="53" customFormat="1" ht="18" customHeight="1" x14ac:dyDescent="0.15">
      <c r="A52" s="65"/>
      <c r="B52" s="61"/>
      <c r="C52" s="61"/>
      <c r="D52" s="76"/>
      <c r="E52" s="76"/>
      <c r="F52" s="74"/>
      <c r="G52" s="77"/>
      <c r="H52" s="57"/>
      <c r="I52" s="56" t="s">
        <v>307</v>
      </c>
      <c r="J52" s="56" t="s">
        <v>258</v>
      </c>
      <c r="K52" s="47">
        <v>31287000</v>
      </c>
      <c r="L52" s="47">
        <f>SUM(L53)</f>
        <v>8513190</v>
      </c>
      <c r="M52" s="51">
        <f>M53</f>
        <v>-22773810</v>
      </c>
      <c r="N52" s="52">
        <f t="shared" si="7"/>
        <v>-72.790008629782335</v>
      </c>
    </row>
    <row r="53" spans="1:14" s="53" customFormat="1" ht="18" customHeight="1" x14ac:dyDescent="0.15">
      <c r="A53" s="80"/>
      <c r="B53" s="81"/>
      <c r="C53" s="81"/>
      <c r="D53" s="82"/>
      <c r="E53" s="82"/>
      <c r="F53" s="83"/>
      <c r="G53" s="84"/>
      <c r="H53" s="85"/>
      <c r="I53" s="86"/>
      <c r="J53" s="86" t="s">
        <v>308</v>
      </c>
      <c r="K53" s="87">
        <v>31287000</v>
      </c>
      <c r="L53" s="87">
        <f>[1]라.국도비세출!F61+'[1]라-1.도시(군)세출'!F39</f>
        <v>8513190</v>
      </c>
      <c r="M53" s="88">
        <f>L53-K53</f>
        <v>-22773810</v>
      </c>
      <c r="N53" s="89">
        <f t="shared" si="7"/>
        <v>-72.790008629782335</v>
      </c>
    </row>
    <row r="54" spans="1:14" x14ac:dyDescent="0.15">
      <c r="D54" s="90"/>
      <c r="E54" s="91"/>
      <c r="F54" s="91"/>
      <c r="G54" s="91"/>
      <c r="K54" s="90"/>
      <c r="L54" s="91"/>
      <c r="M54" s="91"/>
      <c r="N54" s="92"/>
    </row>
    <row r="55" spans="1:14" x14ac:dyDescent="0.15">
      <c r="D55" s="90"/>
      <c r="E55" s="91"/>
      <c r="F55" s="91"/>
      <c r="G55" s="91"/>
      <c r="K55" s="90"/>
      <c r="L55" s="91"/>
      <c r="M55" s="91"/>
      <c r="N55" s="92"/>
    </row>
    <row r="56" spans="1:14" x14ac:dyDescent="0.15">
      <c r="D56" s="90"/>
      <c r="E56" s="91"/>
      <c r="F56" s="91"/>
      <c r="G56" s="91"/>
      <c r="K56" s="90"/>
      <c r="L56" s="91"/>
      <c r="M56" s="91"/>
      <c r="N56" s="92"/>
    </row>
    <row r="57" spans="1:14" x14ac:dyDescent="0.15">
      <c r="D57" s="90"/>
      <c r="E57" s="91"/>
      <c r="F57" s="91"/>
      <c r="G57" s="91"/>
      <c r="K57" s="90"/>
      <c r="L57" s="91"/>
      <c r="M57" s="91"/>
      <c r="N57" s="92"/>
    </row>
    <row r="58" spans="1:14" x14ac:dyDescent="0.15">
      <c r="D58" s="90"/>
      <c r="E58" s="91"/>
      <c r="F58" s="91"/>
      <c r="G58" s="91"/>
      <c r="K58" s="90"/>
      <c r="L58" s="91"/>
      <c r="M58" s="91"/>
      <c r="N58" s="92"/>
    </row>
    <row r="59" spans="1:14" x14ac:dyDescent="0.15">
      <c r="D59" s="90"/>
      <c r="E59" s="91"/>
      <c r="F59" s="91"/>
      <c r="G59" s="91"/>
      <c r="K59" s="90"/>
      <c r="L59" s="91"/>
      <c r="M59" s="91"/>
      <c r="N59" s="92"/>
    </row>
    <row r="60" spans="1:14" x14ac:dyDescent="0.15">
      <c r="D60" s="90"/>
      <c r="E60" s="91"/>
      <c r="F60" s="91"/>
      <c r="G60" s="91"/>
      <c r="K60" s="90"/>
      <c r="L60" s="91"/>
      <c r="M60" s="91"/>
      <c r="N60" s="92"/>
    </row>
    <row r="61" spans="1:14" x14ac:dyDescent="0.15">
      <c r="D61" s="90"/>
      <c r="E61" s="91"/>
      <c r="F61" s="91"/>
      <c r="G61" s="91"/>
      <c r="K61" s="90"/>
      <c r="L61" s="91"/>
      <c r="M61" s="91"/>
      <c r="N61" s="92"/>
    </row>
    <row r="62" spans="1:14" x14ac:dyDescent="0.15">
      <c r="D62" s="90"/>
      <c r="E62" s="91"/>
      <c r="F62" s="91"/>
      <c r="G62" s="91"/>
      <c r="K62" s="90"/>
      <c r="L62" s="91"/>
      <c r="M62" s="91"/>
      <c r="N62" s="92"/>
    </row>
    <row r="63" spans="1:14" x14ac:dyDescent="0.15">
      <c r="D63" s="90"/>
      <c r="E63" s="91"/>
      <c r="F63" s="91"/>
      <c r="G63" s="91"/>
      <c r="K63" s="90"/>
      <c r="L63" s="91"/>
      <c r="M63" s="91"/>
      <c r="N63" s="92"/>
    </row>
    <row r="64" spans="1:14" x14ac:dyDescent="0.15">
      <c r="D64" s="90"/>
      <c r="E64" s="91"/>
      <c r="F64" s="91"/>
      <c r="G64" s="91"/>
      <c r="K64" s="90"/>
      <c r="L64" s="91"/>
      <c r="M64" s="91"/>
      <c r="N64" s="92"/>
    </row>
    <row r="65" spans="4:14" x14ac:dyDescent="0.15">
      <c r="D65" s="90"/>
      <c r="E65" s="91"/>
      <c r="F65" s="91"/>
      <c r="G65" s="91"/>
      <c r="K65" s="90"/>
      <c r="L65" s="91"/>
      <c r="M65" s="91"/>
      <c r="N65" s="92"/>
    </row>
    <row r="66" spans="4:14" x14ac:dyDescent="0.15">
      <c r="D66" s="90"/>
      <c r="E66" s="91"/>
      <c r="F66" s="91"/>
      <c r="G66" s="91"/>
      <c r="K66" s="90"/>
      <c r="L66" s="91"/>
      <c r="M66" s="91"/>
      <c r="N66" s="92"/>
    </row>
    <row r="67" spans="4:14" x14ac:dyDescent="0.15">
      <c r="D67" s="90"/>
      <c r="E67" s="91"/>
      <c r="F67" s="91"/>
      <c r="G67" s="91"/>
      <c r="K67" s="90"/>
      <c r="L67" s="91"/>
      <c r="M67" s="91"/>
      <c r="N67" s="92"/>
    </row>
    <row r="68" spans="4:14" x14ac:dyDescent="0.15">
      <c r="D68" s="90"/>
      <c r="E68" s="91"/>
      <c r="F68" s="91"/>
      <c r="G68" s="91"/>
      <c r="K68" s="90"/>
      <c r="L68" s="91"/>
      <c r="M68" s="91"/>
      <c r="N68" s="92"/>
    </row>
    <row r="69" spans="4:14" x14ac:dyDescent="0.15">
      <c r="D69" s="90"/>
      <c r="E69" s="91"/>
      <c r="F69" s="91"/>
      <c r="G69" s="91"/>
      <c r="K69" s="90"/>
      <c r="L69" s="91"/>
      <c r="M69" s="91"/>
      <c r="N69" s="92"/>
    </row>
    <row r="70" spans="4:14" x14ac:dyDescent="0.15">
      <c r="D70" s="90"/>
      <c r="E70" s="91"/>
      <c r="F70" s="91"/>
      <c r="G70" s="91"/>
    </row>
    <row r="71" spans="4:14" x14ac:dyDescent="0.15">
      <c r="D71" s="90"/>
      <c r="E71" s="91"/>
      <c r="F71" s="91"/>
      <c r="G71" s="91"/>
    </row>
    <row r="72" spans="4:14" x14ac:dyDescent="0.15">
      <c r="D72" s="90"/>
      <c r="E72" s="91"/>
      <c r="F72" s="91"/>
      <c r="G72" s="91"/>
    </row>
  </sheetData>
  <mergeCells count="18">
    <mergeCell ref="A1:C1"/>
    <mergeCell ref="H1:J1"/>
    <mergeCell ref="A3:G3"/>
    <mergeCell ref="H3:N3"/>
    <mergeCell ref="A4:C4"/>
    <mergeCell ref="D4:D5"/>
    <mergeCell ref="E4:E5"/>
    <mergeCell ref="F4:G4"/>
    <mergeCell ref="H4:J4"/>
    <mergeCell ref="K4:K5"/>
    <mergeCell ref="B10:C10"/>
    <mergeCell ref="B13:C13"/>
    <mergeCell ref="L4:L5"/>
    <mergeCell ref="M4:N4"/>
    <mergeCell ref="A6:C6"/>
    <mergeCell ref="H6:J6"/>
    <mergeCell ref="B7:C7"/>
    <mergeCell ref="I7:J7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17</vt:i4>
      </vt:variant>
    </vt:vector>
  </HeadingPairs>
  <TitlesOfParts>
    <vt:vector size="39" baseType="lpstr">
      <vt:lpstr>표지</vt:lpstr>
      <vt:lpstr>가. 예산총칙</vt:lpstr>
      <vt:lpstr>나. 세입세출(총괄)</vt:lpstr>
      <vt:lpstr>다. 세입내역서</vt:lpstr>
      <vt:lpstr>라. 세출내역서</vt:lpstr>
      <vt:lpstr>마.세입세출(개요)</vt:lpstr>
      <vt:lpstr>바. 증감사유</vt:lpstr>
      <vt:lpstr>사. 임직원보수 일람표</vt:lpstr>
      <vt:lpstr>아-1 교대인력지원인건비</vt:lpstr>
      <vt:lpstr>아-2 7종인건비</vt:lpstr>
      <vt:lpstr>아. 일용잡급일람표</vt:lpstr>
      <vt:lpstr>수급자보장급여</vt:lpstr>
      <vt:lpstr>4종</vt:lpstr>
      <vt:lpstr>1.국도비세출</vt:lpstr>
      <vt:lpstr>시군구세출</vt:lpstr>
      <vt:lpstr>자부담세출</vt:lpstr>
      <vt:lpstr>후원금세출</vt:lpstr>
      <vt:lpstr>다.후원금세입</vt:lpstr>
      <vt:lpstr>자부담세입</vt:lpstr>
      <vt:lpstr>국도비세입</vt:lpstr>
      <vt:lpstr>시군구세입</vt:lpstr>
      <vt:lpstr>세입세출내역</vt:lpstr>
      <vt:lpstr>'나. 세입세출(총괄)'!Print_Area</vt:lpstr>
      <vt:lpstr>'다. 세입내역서'!Print_Area</vt:lpstr>
      <vt:lpstr>'라. 세출내역서'!Print_Area</vt:lpstr>
      <vt:lpstr>'마.세입세출(개요)'!Print_Area</vt:lpstr>
      <vt:lpstr>수급자보장급여!Print_Area</vt:lpstr>
      <vt:lpstr>'아. 일용잡급일람표'!Print_Area</vt:lpstr>
      <vt:lpstr>'아-1 교대인력지원인건비'!Print_Area</vt:lpstr>
      <vt:lpstr>'아-2 7종인건비'!Print_Area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'바. 증감사유'!Print_Titles</vt:lpstr>
      <vt:lpstr>'사. 임직원보수 일람표'!Print_Titles</vt:lpstr>
      <vt:lpstr>'아. 일용잡급일람표'!Print_Titles</vt:lpstr>
      <vt:lpstr>'아-1 교대인력지원인건비'!Print_Titles</vt:lpstr>
      <vt:lpstr>'아-2 7종인건비'!Print_Titles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이선이</cp:lastModifiedBy>
  <cp:lastPrinted>2022-09-26T09:48:25Z</cp:lastPrinted>
  <dcterms:created xsi:type="dcterms:W3CDTF">2001-04-07T08:29:30Z</dcterms:created>
  <dcterms:modified xsi:type="dcterms:W3CDTF">2022-12-19T09:52:03Z</dcterms:modified>
</cp:coreProperties>
</file>